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01.01.2025" sheetId="1" r:id="rId1"/>
    <sheet name="РОО" sheetId="2" r:id="rId2"/>
  </sheets>
  <externalReferences>
    <externalReference r:id="rId3"/>
    <externalReference r:id="rId4"/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AB9" i="2" l="1"/>
  <c r="AA9" i="2"/>
  <c r="X9" i="2"/>
  <c r="Z9" i="2"/>
  <c r="W9" i="2"/>
  <c r="V65" i="1"/>
  <c r="R65" i="1"/>
  <c r="R17" i="1"/>
  <c r="AB18" i="1"/>
  <c r="AE17" i="1"/>
  <c r="AD17" i="1"/>
  <c r="R15" i="1"/>
  <c r="R23" i="1"/>
  <c r="R50" i="1"/>
  <c r="R56" i="1"/>
  <c r="S9" i="2"/>
  <c r="R53" i="1"/>
  <c r="R52" i="1"/>
  <c r="R33" i="1"/>
  <c r="R29" i="1"/>
  <c r="R22" i="1"/>
  <c r="R19" i="1"/>
  <c r="R16" i="1"/>
  <c r="R11" i="1"/>
  <c r="R10" i="1"/>
  <c r="R9" i="1"/>
  <c r="V19" i="1"/>
  <c r="O19" i="1"/>
  <c r="O56" i="1"/>
  <c r="O42" i="1"/>
  <c r="O59" i="1"/>
  <c r="O37" i="1"/>
  <c r="O23" i="1"/>
  <c r="O10" i="1"/>
  <c r="O15" i="1"/>
  <c r="O9" i="1"/>
  <c r="O33" i="1"/>
  <c r="O32" i="1"/>
  <c r="O31" i="1"/>
  <c r="O30" i="1"/>
  <c r="O29" i="1"/>
  <c r="O28" i="1"/>
  <c r="O27" i="1"/>
  <c r="O26" i="1"/>
  <c r="O51" i="1"/>
  <c r="O63" i="1"/>
  <c r="O49" i="1"/>
  <c r="O47" i="1"/>
  <c r="O20" i="1"/>
  <c r="O18" i="1"/>
  <c r="O46" i="1"/>
  <c r="O57" i="1"/>
  <c r="O17" i="1"/>
  <c r="O41" i="1"/>
  <c r="O36" i="1"/>
  <c r="O12" i="1"/>
  <c r="O8" i="1"/>
  <c r="O35" i="1" l="1"/>
  <c r="O34" i="1"/>
  <c r="O48" i="1"/>
  <c r="O16" i="1" l="1"/>
  <c r="O14" i="1"/>
  <c r="P9" i="2" l="1"/>
  <c r="M59" i="1" l="1"/>
  <c r="M63" i="1"/>
  <c r="M62" i="1"/>
  <c r="M60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6" i="1"/>
  <c r="M25" i="1"/>
  <c r="M24" i="1"/>
  <c r="M23" i="1"/>
  <c r="M22" i="1"/>
  <c r="M21" i="1"/>
  <c r="M17" i="1"/>
  <c r="M16" i="1"/>
  <c r="M15" i="1"/>
  <c r="M14" i="1"/>
  <c r="M13" i="1"/>
  <c r="M12" i="1"/>
  <c r="M10" i="1"/>
  <c r="M11" i="1"/>
  <c r="M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5" i="1"/>
  <c r="G44" i="1"/>
  <c r="G43" i="1"/>
  <c r="G42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C62" i="1" l="1"/>
  <c r="D62" i="1"/>
  <c r="E62" i="1"/>
  <c r="F62" i="1"/>
  <c r="H62" i="1"/>
  <c r="I62" i="1"/>
  <c r="L62" i="1" s="1"/>
  <c r="V62" i="1" s="1"/>
  <c r="Y62" i="1" s="1"/>
  <c r="K62" i="1"/>
  <c r="W62" i="1"/>
  <c r="X62" i="1"/>
  <c r="K9" i="1" l="1"/>
  <c r="K10" i="1"/>
  <c r="K11" i="1"/>
  <c r="K12" i="1"/>
  <c r="K13" i="1"/>
  <c r="K14" i="1"/>
  <c r="K15" i="1"/>
  <c r="K16" i="1"/>
  <c r="K17" i="1"/>
  <c r="K18" i="1"/>
  <c r="K19" i="1"/>
  <c r="K64" i="1"/>
  <c r="K8" i="1"/>
  <c r="I9" i="1"/>
  <c r="I10" i="1"/>
  <c r="I11" i="1"/>
  <c r="I12" i="1"/>
  <c r="I13" i="1"/>
  <c r="I14" i="1"/>
  <c r="I15" i="1"/>
  <c r="I16" i="1"/>
  <c r="I17" i="1"/>
  <c r="I18" i="1"/>
  <c r="I19" i="1"/>
  <c r="I64" i="1"/>
  <c r="H64" i="1"/>
  <c r="I8" i="1"/>
  <c r="H8" i="1"/>
  <c r="I47" i="1"/>
  <c r="I28" i="1"/>
  <c r="K27" i="1"/>
  <c r="K61" i="1"/>
  <c r="I60" i="1"/>
  <c r="I59" i="1"/>
  <c r="I58" i="1"/>
  <c r="H56" i="1"/>
  <c r="K55" i="1"/>
  <c r="I54" i="1"/>
  <c r="I53" i="1"/>
  <c r="I52" i="1"/>
  <c r="H50" i="1"/>
  <c r="K49" i="1"/>
  <c r="I48" i="1"/>
  <c r="G46" i="1"/>
  <c r="I46" i="1" s="1"/>
  <c r="H44" i="1"/>
  <c r="K43" i="1"/>
  <c r="I42" i="1"/>
  <c r="I40" i="1"/>
  <c r="H38" i="1"/>
  <c r="K37" i="1"/>
  <c r="I36" i="1"/>
  <c r="I35" i="1"/>
  <c r="I34" i="1"/>
  <c r="H32" i="1"/>
  <c r="K31" i="1"/>
  <c r="I29" i="1"/>
  <c r="I30" i="1"/>
  <c r="H26" i="1"/>
  <c r="K25" i="1"/>
  <c r="I24" i="1"/>
  <c r="H61" i="1" l="1"/>
  <c r="H55" i="1"/>
  <c r="H49" i="1"/>
  <c r="H43" i="1"/>
  <c r="H37" i="1"/>
  <c r="H31" i="1"/>
  <c r="I63" i="1"/>
  <c r="I57" i="1"/>
  <c r="I51" i="1"/>
  <c r="I45" i="1"/>
  <c r="I39" i="1"/>
  <c r="I33" i="1"/>
  <c r="I27" i="1"/>
  <c r="I21" i="1"/>
  <c r="K60" i="1"/>
  <c r="K54" i="1"/>
  <c r="K48" i="1"/>
  <c r="K42" i="1"/>
  <c r="K36" i="1"/>
  <c r="K30" i="1"/>
  <c r="K24" i="1"/>
  <c r="H60" i="1"/>
  <c r="H54" i="1"/>
  <c r="H48" i="1"/>
  <c r="H42" i="1"/>
  <c r="H36" i="1"/>
  <c r="H30" i="1"/>
  <c r="I56" i="1"/>
  <c r="I50" i="1"/>
  <c r="I44" i="1"/>
  <c r="I38" i="1"/>
  <c r="I32" i="1"/>
  <c r="I26" i="1"/>
  <c r="K59" i="1"/>
  <c r="K53" i="1"/>
  <c r="K47" i="1"/>
  <c r="K35" i="1"/>
  <c r="K29" i="1"/>
  <c r="H59" i="1"/>
  <c r="H53" i="1"/>
  <c r="H47" i="1"/>
  <c r="H35" i="1"/>
  <c r="H29" i="1"/>
  <c r="I61" i="1"/>
  <c r="I55" i="1"/>
  <c r="I49" i="1"/>
  <c r="I43" i="1"/>
  <c r="I37" i="1"/>
  <c r="I31" i="1"/>
  <c r="I25" i="1"/>
  <c r="K58" i="1"/>
  <c r="K52" i="1"/>
  <c r="K46" i="1"/>
  <c r="K40" i="1"/>
  <c r="K34" i="1"/>
  <c r="K28" i="1"/>
  <c r="H58" i="1"/>
  <c r="H52" i="1"/>
  <c r="H46" i="1"/>
  <c r="H40" i="1"/>
  <c r="H34" i="1"/>
  <c r="H28" i="1"/>
  <c r="K63" i="1"/>
  <c r="K57" i="1"/>
  <c r="K51" i="1"/>
  <c r="K45" i="1"/>
  <c r="K39" i="1"/>
  <c r="K33" i="1"/>
  <c r="K21" i="1"/>
  <c r="H63" i="1"/>
  <c r="H57" i="1"/>
  <c r="H51" i="1"/>
  <c r="H45" i="1"/>
  <c r="H39" i="1"/>
  <c r="H33" i="1"/>
  <c r="H27" i="1"/>
  <c r="K56" i="1"/>
  <c r="K50" i="1"/>
  <c r="K44" i="1"/>
  <c r="K38" i="1"/>
  <c r="K32" i="1"/>
  <c r="K26" i="1"/>
  <c r="L38" i="1" l="1"/>
  <c r="AD11" i="2"/>
  <c r="V11" i="2"/>
  <c r="U11" i="2"/>
  <c r="T11" i="2"/>
  <c r="R11" i="2"/>
  <c r="Q11" i="2"/>
  <c r="AC9" i="2"/>
  <c r="J9" i="2"/>
  <c r="D9" i="2"/>
  <c r="F9" i="2" s="1"/>
  <c r="O11" i="2"/>
  <c r="S11" i="2"/>
  <c r="P11" i="2"/>
  <c r="N11" i="2"/>
  <c r="G9" i="2" l="1"/>
  <c r="I9" i="2"/>
  <c r="K9" i="2"/>
  <c r="E9" i="2"/>
  <c r="L9" i="2"/>
  <c r="L11" i="2" s="1"/>
  <c r="D11" i="2"/>
  <c r="H11" i="2"/>
  <c r="U65" i="1"/>
  <c r="T65" i="1"/>
  <c r="S65" i="1"/>
  <c r="Q65" i="1"/>
  <c r="P65" i="1"/>
  <c r="W64" i="1"/>
  <c r="C64" i="1"/>
  <c r="D64" i="1" s="1"/>
  <c r="W63" i="1"/>
  <c r="C63" i="1"/>
  <c r="D63" i="1" s="1"/>
  <c r="M61" i="1"/>
  <c r="W61" i="1" s="1"/>
  <c r="C61" i="1"/>
  <c r="W60" i="1"/>
  <c r="C60" i="1"/>
  <c r="F60" i="1" s="1"/>
  <c r="W59" i="1"/>
  <c r="C59" i="1"/>
  <c r="W58" i="1"/>
  <c r="C58" i="1"/>
  <c r="F58" i="1" s="1"/>
  <c r="W57" i="1"/>
  <c r="C57" i="1"/>
  <c r="D57" i="1" s="1"/>
  <c r="W56" i="1"/>
  <c r="C56" i="1"/>
  <c r="D56" i="1" s="1"/>
  <c r="W55" i="1"/>
  <c r="C55" i="1"/>
  <c r="E55" i="1" s="1"/>
  <c r="W54" i="1"/>
  <c r="C54" i="1"/>
  <c r="E54" i="1" s="1"/>
  <c r="W53" i="1"/>
  <c r="C53" i="1"/>
  <c r="D53" i="1" s="1"/>
  <c r="W52" i="1"/>
  <c r="C52" i="1"/>
  <c r="D52" i="1" s="1"/>
  <c r="W51" i="1"/>
  <c r="L51" i="1"/>
  <c r="C51" i="1"/>
  <c r="D51" i="1" s="1"/>
  <c r="W50" i="1"/>
  <c r="C50" i="1"/>
  <c r="F50" i="1" s="1"/>
  <c r="W49" i="1"/>
  <c r="C49" i="1"/>
  <c r="D49" i="1" s="1"/>
  <c r="W48" i="1"/>
  <c r="C48" i="1"/>
  <c r="E48" i="1" s="1"/>
  <c r="W47" i="1"/>
  <c r="C47" i="1"/>
  <c r="E47" i="1" s="1"/>
  <c r="W46" i="1"/>
  <c r="C46" i="1"/>
  <c r="D46" i="1" s="1"/>
  <c r="W45" i="1"/>
  <c r="L45" i="1"/>
  <c r="C45" i="1"/>
  <c r="D45" i="1" s="1"/>
  <c r="W44" i="1"/>
  <c r="C44" i="1"/>
  <c r="E44" i="1" s="1"/>
  <c r="W43" i="1"/>
  <c r="L43" i="1"/>
  <c r="C43" i="1"/>
  <c r="F43" i="1" s="1"/>
  <c r="W42" i="1"/>
  <c r="C42" i="1"/>
  <c r="E42" i="1" s="1"/>
  <c r="W41" i="1"/>
  <c r="C41" i="1"/>
  <c r="E41" i="1" s="1"/>
  <c r="W40" i="1"/>
  <c r="C40" i="1"/>
  <c r="W39" i="1"/>
  <c r="L39" i="1"/>
  <c r="C39" i="1"/>
  <c r="F39" i="1" s="1"/>
  <c r="W38" i="1"/>
  <c r="C38" i="1"/>
  <c r="D38" i="1" s="1"/>
  <c r="W37" i="1"/>
  <c r="L37" i="1"/>
  <c r="C37" i="1"/>
  <c r="D37" i="1" s="1"/>
  <c r="W36" i="1"/>
  <c r="C36" i="1"/>
  <c r="E36" i="1" s="1"/>
  <c r="W35" i="1"/>
  <c r="F35" i="1"/>
  <c r="E35" i="1"/>
  <c r="D35" i="1"/>
  <c r="W34" i="1"/>
  <c r="C34" i="1"/>
  <c r="D34" i="1" s="1"/>
  <c r="W33" i="1"/>
  <c r="C33" i="1"/>
  <c r="E33" i="1" s="1"/>
  <c r="W32" i="1"/>
  <c r="L32" i="1"/>
  <c r="C32" i="1"/>
  <c r="W31" i="1"/>
  <c r="L31" i="1"/>
  <c r="C31" i="1"/>
  <c r="W30" i="1"/>
  <c r="L30" i="1"/>
  <c r="C30" i="1"/>
  <c r="F30" i="1" s="1"/>
  <c r="W29" i="1"/>
  <c r="L29" i="1"/>
  <c r="C29" i="1"/>
  <c r="E29" i="1" s="1"/>
  <c r="M28" i="1"/>
  <c r="W28" i="1" s="1"/>
  <c r="C28" i="1"/>
  <c r="F28" i="1" s="1"/>
  <c r="M27" i="1"/>
  <c r="W27" i="1" s="1"/>
  <c r="L27" i="1"/>
  <c r="C27" i="1"/>
  <c r="D27" i="1" s="1"/>
  <c r="W26" i="1"/>
  <c r="L26" i="1"/>
  <c r="C26" i="1"/>
  <c r="E26" i="1" s="1"/>
  <c r="W25" i="1"/>
  <c r="L25" i="1"/>
  <c r="C25" i="1"/>
  <c r="E25" i="1" s="1"/>
  <c r="W24" i="1"/>
  <c r="C24" i="1"/>
  <c r="F24" i="1" s="1"/>
  <c r="W23" i="1"/>
  <c r="C23" i="1"/>
  <c r="D23" i="1" s="1"/>
  <c r="W22" i="1"/>
  <c r="C22" i="1"/>
  <c r="D22" i="1" s="1"/>
  <c r="W21" i="1"/>
  <c r="L21" i="1"/>
  <c r="C21" i="1"/>
  <c r="D21" i="1" s="1"/>
  <c r="W20" i="1"/>
  <c r="F20" i="1"/>
  <c r="E20" i="1"/>
  <c r="D20" i="1"/>
  <c r="W19" i="1"/>
  <c r="C19" i="1"/>
  <c r="E19" i="1" s="1"/>
  <c r="W18" i="1"/>
  <c r="L18" i="1"/>
  <c r="F18" i="1"/>
  <c r="E18" i="1"/>
  <c r="D18" i="1"/>
  <c r="W17" i="1"/>
  <c r="F17" i="1"/>
  <c r="E17" i="1"/>
  <c r="D17" i="1"/>
  <c r="W16" i="1"/>
  <c r="L16" i="1"/>
  <c r="C16" i="1"/>
  <c r="D16" i="1" s="1"/>
  <c r="N65" i="1"/>
  <c r="W15" i="1"/>
  <c r="C15" i="1"/>
  <c r="F15" i="1" s="1"/>
  <c r="W14" i="1"/>
  <c r="L14" i="1"/>
  <c r="C14" i="1"/>
  <c r="F14" i="1" s="1"/>
  <c r="W13" i="1"/>
  <c r="C13" i="1"/>
  <c r="F13" i="1" s="1"/>
  <c r="W12" i="1"/>
  <c r="C12" i="1"/>
  <c r="E12" i="1" s="1"/>
  <c r="W11" i="1"/>
  <c r="C11" i="1"/>
  <c r="F11" i="1" s="1"/>
  <c r="W10" i="1"/>
  <c r="L10" i="1"/>
  <c r="F10" i="1"/>
  <c r="E10" i="1"/>
  <c r="D10" i="1"/>
  <c r="W9" i="1"/>
  <c r="C9" i="1"/>
  <c r="F9" i="1" s="1"/>
  <c r="C8" i="1"/>
  <c r="E8" i="1" s="1"/>
  <c r="M9" i="2" l="1"/>
  <c r="F34" i="1"/>
  <c r="E24" i="1"/>
  <c r="F63" i="1"/>
  <c r="E30" i="1"/>
  <c r="E52" i="1"/>
  <c r="F52" i="1"/>
  <c r="F57" i="1"/>
  <c r="F19" i="1"/>
  <c r="F47" i="1"/>
  <c r="D24" i="1"/>
  <c r="F33" i="1"/>
  <c r="E34" i="1"/>
  <c r="D15" i="1"/>
  <c r="D36" i="1"/>
  <c r="D50" i="1"/>
  <c r="F51" i="1"/>
  <c r="D58" i="1"/>
  <c r="E23" i="1"/>
  <c r="F36" i="1"/>
  <c r="E46" i="1"/>
  <c r="E49" i="1"/>
  <c r="E50" i="1"/>
  <c r="F56" i="1"/>
  <c r="E58" i="1"/>
  <c r="L64" i="1"/>
  <c r="D11" i="1"/>
  <c r="F23" i="1"/>
  <c r="D26" i="1"/>
  <c r="E28" i="1"/>
  <c r="D29" i="1"/>
  <c r="F41" i="1"/>
  <c r="F42" i="1"/>
  <c r="F44" i="1"/>
  <c r="F45" i="1"/>
  <c r="F46" i="1"/>
  <c r="F48" i="1"/>
  <c r="F53" i="1"/>
  <c r="L56" i="1"/>
  <c r="D60" i="1"/>
  <c r="E14" i="1"/>
  <c r="F21" i="1"/>
  <c r="D28" i="1"/>
  <c r="F37" i="1"/>
  <c r="D41" i="1"/>
  <c r="D42" i="1"/>
  <c r="E45" i="1"/>
  <c r="D9" i="1"/>
  <c r="F8" i="1"/>
  <c r="E9" i="1"/>
  <c r="E11" i="1"/>
  <c r="D12" i="1"/>
  <c r="D19" i="1"/>
  <c r="D25" i="1"/>
  <c r="F26" i="1"/>
  <c r="F29" i="1"/>
  <c r="D33" i="1"/>
  <c r="L34" i="1"/>
  <c r="L46" i="1"/>
  <c r="D47" i="1"/>
  <c r="L52" i="1"/>
  <c r="E60" i="1"/>
  <c r="E21" i="1"/>
  <c r="E37" i="1"/>
  <c r="E38" i="1"/>
  <c r="D43" i="1"/>
  <c r="D48" i="1"/>
  <c r="L57" i="1"/>
  <c r="L63" i="1"/>
  <c r="E15" i="1"/>
  <c r="F38" i="1"/>
  <c r="E43" i="1"/>
  <c r="F12" i="1"/>
  <c r="F25" i="1"/>
  <c r="D30" i="1"/>
  <c r="E57" i="1"/>
  <c r="E63" i="1"/>
  <c r="K11" i="2"/>
  <c r="I11" i="2"/>
  <c r="G11" i="2"/>
  <c r="F11" i="2"/>
  <c r="E11" i="2"/>
  <c r="J11" i="2"/>
  <c r="L40" i="1"/>
  <c r="L59" i="1"/>
  <c r="L53" i="1"/>
  <c r="L13" i="1"/>
  <c r="M65" i="1"/>
  <c r="L50" i="1"/>
  <c r="O65" i="1"/>
  <c r="E22" i="1"/>
  <c r="E27" i="1"/>
  <c r="F32" i="1"/>
  <c r="E32" i="1"/>
  <c r="D32" i="1"/>
  <c r="L35" i="1"/>
  <c r="D59" i="1"/>
  <c r="F59" i="1"/>
  <c r="E59" i="1"/>
  <c r="L9" i="1"/>
  <c r="L12" i="1"/>
  <c r="D13" i="1"/>
  <c r="D14" i="1"/>
  <c r="F22" i="1"/>
  <c r="L24" i="1"/>
  <c r="F27" i="1"/>
  <c r="F40" i="1"/>
  <c r="E40" i="1"/>
  <c r="D40" i="1"/>
  <c r="E13" i="1"/>
  <c r="L36" i="1"/>
  <c r="L28" i="1"/>
  <c r="E61" i="1"/>
  <c r="F61" i="1"/>
  <c r="D61" i="1"/>
  <c r="F31" i="1"/>
  <c r="E31" i="1"/>
  <c r="L33" i="1"/>
  <c r="L48" i="1"/>
  <c r="L49" i="1"/>
  <c r="C65" i="1"/>
  <c r="D8" i="1"/>
  <c r="L11" i="1"/>
  <c r="L15" i="1"/>
  <c r="E16" i="1"/>
  <c r="D31" i="1"/>
  <c r="L55" i="1"/>
  <c r="W8" i="1"/>
  <c r="F16" i="1"/>
  <c r="L17" i="1"/>
  <c r="L19" i="1"/>
  <c r="L54" i="1"/>
  <c r="D39" i="1"/>
  <c r="L42" i="1"/>
  <c r="E64" i="1"/>
  <c r="E39" i="1"/>
  <c r="L47" i="1"/>
  <c r="L58" i="1"/>
  <c r="L60" i="1"/>
  <c r="F64" i="1"/>
  <c r="L44" i="1"/>
  <c r="D54" i="1"/>
  <c r="D55" i="1"/>
  <c r="D44" i="1"/>
  <c r="F49" i="1"/>
  <c r="E51" i="1"/>
  <c r="E53" i="1"/>
  <c r="F54" i="1"/>
  <c r="F55" i="1"/>
  <c r="E56" i="1"/>
  <c r="L61" i="1"/>
  <c r="V39" i="1" l="1"/>
  <c r="V10" i="1"/>
  <c r="V34" i="1"/>
  <c r="L8" i="1"/>
  <c r="V8" i="1" s="1"/>
  <c r="V46" i="1"/>
  <c r="V59" i="1"/>
  <c r="V40" i="1"/>
  <c r="V50" i="1"/>
  <c r="V11" i="1"/>
  <c r="V47" i="1"/>
  <c r="V27" i="1"/>
  <c r="AD9" i="2"/>
  <c r="AE9" i="2" s="1"/>
  <c r="M11" i="2"/>
  <c r="W11" i="2" s="1"/>
  <c r="V37" i="1"/>
  <c r="V21" i="1"/>
  <c r="V38" i="1"/>
  <c r="V9" i="1"/>
  <c r="V35" i="1"/>
  <c r="V48" i="1"/>
  <c r="V15" i="1"/>
  <c r="V32" i="1"/>
  <c r="V30" i="1"/>
  <c r="V45" i="1"/>
  <c r="V43" i="1"/>
  <c r="V14" i="1"/>
  <c r="D65" i="1"/>
  <c r="F65" i="1"/>
  <c r="E65" i="1"/>
  <c r="V18" i="1" l="1"/>
  <c r="V60" i="1"/>
  <c r="V49" i="1"/>
  <c r="V36" i="1"/>
  <c r="V17" i="1"/>
  <c r="V53" i="1"/>
  <c r="V12" i="1"/>
  <c r="V42" i="1"/>
  <c r="V33" i="1"/>
  <c r="V54" i="1"/>
  <c r="X54" i="1" s="1"/>
  <c r="Y54" i="1" s="1"/>
  <c r="X27" i="1"/>
  <c r="Y27" i="1" s="1"/>
  <c r="V55" i="1"/>
  <c r="V51" i="1"/>
  <c r="V31" i="1"/>
  <c r="V57" i="1"/>
  <c r="V26" i="1"/>
  <c r="X10" i="1"/>
  <c r="Y10" i="1" s="1"/>
  <c r="V63" i="1"/>
  <c r="V64" i="1"/>
  <c r="V25" i="1"/>
  <c r="V24" i="1"/>
  <c r="V44" i="1"/>
  <c r="X21" i="1"/>
  <c r="Y21" i="1" s="1"/>
  <c r="V58" i="1"/>
  <c r="X38" i="1"/>
  <c r="Y38" i="1" s="1"/>
  <c r="X37" i="1"/>
  <c r="Y37" i="1" s="1"/>
  <c r="V28" i="1"/>
  <c r="V52" i="1"/>
  <c r="V16" i="1"/>
  <c r="V56" i="1"/>
  <c r="V13" i="1"/>
  <c r="V61" i="1"/>
  <c r="X30" i="1"/>
  <c r="Y30" i="1" s="1"/>
  <c r="V29" i="1"/>
  <c r="X32" i="1"/>
  <c r="Y32" i="1" s="1"/>
  <c r="X43" i="1"/>
  <c r="Y43" i="1" s="1"/>
  <c r="X14" i="1"/>
  <c r="Y14" i="1" s="1"/>
  <c r="X45" i="1"/>
  <c r="Y45" i="1" s="1"/>
  <c r="X59" i="1" l="1"/>
  <c r="Y59" i="1" s="1"/>
  <c r="X34" i="1"/>
  <c r="Y34" i="1" s="1"/>
  <c r="X36" i="1"/>
  <c r="Y36" i="1" s="1"/>
  <c r="X18" i="1"/>
  <c r="Y18" i="1" s="1"/>
  <c r="X49" i="1"/>
  <c r="Y49" i="1" s="1"/>
  <c r="X8" i="1"/>
  <c r="Y8" i="1" s="1"/>
  <c r="X19" i="1"/>
  <c r="Y19" i="1" s="1"/>
  <c r="X25" i="1"/>
  <c r="Y25" i="1" s="1"/>
  <c r="X51" i="1"/>
  <c r="Y51" i="1" s="1"/>
  <c r="X58" i="1"/>
  <c r="Y58" i="1" s="1"/>
  <c r="X60" i="1"/>
  <c r="Y60" i="1" s="1"/>
  <c r="X41" i="1"/>
  <c r="X50" i="1"/>
  <c r="Y50" i="1" s="1"/>
  <c r="X31" i="1"/>
  <c r="Y31" i="1" s="1"/>
  <c r="X39" i="1"/>
  <c r="Y39" i="1" s="1"/>
  <c r="X33" i="1"/>
  <c r="Y33" i="1" s="1"/>
  <c r="X53" i="1"/>
  <c r="Y53" i="1" s="1"/>
  <c r="X42" i="1"/>
  <c r="Y42" i="1" s="1"/>
  <c r="X12" i="1"/>
  <c r="Y12" i="1" s="1"/>
  <c r="X47" i="1"/>
  <c r="Y47" i="1" s="1"/>
  <c r="X40" i="1"/>
  <c r="Y40" i="1" s="1"/>
  <c r="X24" i="1"/>
  <c r="Y24" i="1" s="1"/>
  <c r="X26" i="1"/>
  <c r="Y26" i="1" s="1"/>
  <c r="X46" i="1"/>
  <c r="Y46" i="1" s="1"/>
  <c r="X57" i="1"/>
  <c r="Y57" i="1" s="1"/>
  <c r="X55" i="1"/>
  <c r="Y55" i="1" s="1"/>
  <c r="X9" i="1"/>
  <c r="Y9" i="1" s="1"/>
  <c r="X15" i="1"/>
  <c r="Y15" i="1" s="1"/>
  <c r="X17" i="1"/>
  <c r="Y17" i="1" s="1"/>
  <c r="X64" i="1"/>
  <c r="Y64" i="1" s="1"/>
  <c r="X63" i="1"/>
  <c r="Y63" i="1" s="1"/>
  <c r="X44" i="1"/>
  <c r="Y44" i="1" s="1"/>
  <c r="X11" i="1"/>
  <c r="Y11" i="1" s="1"/>
  <c r="X48" i="1"/>
  <c r="Y48" i="1" s="1"/>
  <c r="X28" i="1"/>
  <c r="Y28" i="1" s="1"/>
  <c r="X52" i="1"/>
  <c r="Y52" i="1" s="1"/>
  <c r="X13" i="1"/>
  <c r="Y13" i="1" s="1"/>
  <c r="X35" i="1"/>
  <c r="Y35" i="1" s="1"/>
  <c r="X56" i="1"/>
  <c r="Y56" i="1" s="1"/>
  <c r="X16" i="1"/>
  <c r="Y16" i="1" s="1"/>
  <c r="X61" i="1"/>
  <c r="Y61" i="1" s="1"/>
  <c r="X29" i="1"/>
  <c r="Y29" i="1" s="1"/>
  <c r="X65" i="1" l="1"/>
  <c r="I20" i="1" l="1"/>
  <c r="K20" i="1"/>
  <c r="L20" i="1" l="1"/>
  <c r="V20" i="1" l="1"/>
  <c r="X20" i="1" l="1"/>
  <c r="Y20" i="1" s="1"/>
  <c r="I22" i="1"/>
  <c r="K22" i="1" l="1"/>
  <c r="L22" i="1" l="1"/>
  <c r="V22" i="1" l="1"/>
  <c r="X22" i="1" l="1"/>
  <c r="Y22" i="1" s="1"/>
  <c r="I23" i="1"/>
  <c r="K23" i="1" l="1"/>
  <c r="L23" i="1" l="1"/>
  <c r="V23" i="1"/>
  <c r="X23" i="1" l="1"/>
  <c r="Y23" i="1" s="1"/>
  <c r="G41" i="1"/>
  <c r="G65" i="1" s="1"/>
  <c r="K41" i="1" l="1"/>
  <c r="K65" i="1" s="1"/>
  <c r="J65" i="1"/>
  <c r="I41" i="1"/>
  <c r="I65" i="1" s="1"/>
  <c r="H41" i="1"/>
  <c r="L41" i="1" s="1"/>
  <c r="V41" i="1" s="1"/>
  <c r="Y41" i="1" s="1"/>
  <c r="L65" i="1" l="1"/>
</calcChain>
</file>

<file path=xl/sharedStrings.xml><?xml version="1.0" encoding="utf-8"?>
<sst xmlns="http://schemas.openxmlformats.org/spreadsheetml/2006/main" count="112" uniqueCount="93">
  <si>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</si>
  <si>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</si>
  <si>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</si>
  <si>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</si>
  <si>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</si>
  <si>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</si>
  <si>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 xml:space="preserve">Общие затраты школ  за год </t>
  </si>
  <si>
    <t>1 квартал</t>
  </si>
  <si>
    <t xml:space="preserve">2 квартал </t>
  </si>
  <si>
    <t>3 квартал</t>
  </si>
  <si>
    <t xml:space="preserve">4 квартал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</si>
  <si>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</si>
  <si>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</si>
  <si>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</si>
  <si>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</si>
  <si>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</si>
  <si>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</si>
  <si>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отопление за отопительный сезон</t>
  </si>
  <si>
    <t>эл/энергия год</t>
  </si>
  <si>
    <t>услуги связи год/152</t>
  </si>
  <si>
    <t>выкачка септика</t>
  </si>
  <si>
    <t>вода</t>
  </si>
  <si>
    <t>КГУ ОСШ  с.Конысбай</t>
  </si>
  <si>
    <t>КГУ ОСШ с.Айдабул</t>
  </si>
  <si>
    <t>КГУ ОСШ с.Акколь</t>
  </si>
  <si>
    <t>КГУ ОСШ с.Акадыр</t>
  </si>
  <si>
    <t>КГУ ОСШ с.Алексеевка №1</t>
  </si>
  <si>
    <t>КГУ ОСШ с.Еликты</t>
  </si>
  <si>
    <t>КГУ ОСШ с.Бирлестык</t>
  </si>
  <si>
    <t>КГУ ОСШ с.Викторовка</t>
  </si>
  <si>
    <t>КГУ ОСШ с.Алексеевка №2</t>
  </si>
  <si>
    <t>КГУ ОСШ с.Еленовка</t>
  </si>
  <si>
    <t>КГУ ОСШ №1 с.Зеренда</t>
  </si>
  <si>
    <t>КГУ«Школа - гимназия имени Малика Габдуллина села Зеренда</t>
  </si>
  <si>
    <t>КГУ ОСШ № 2 с.Зеренда</t>
  </si>
  <si>
    <t>КГУ ОСШ с.Иглик</t>
  </si>
  <si>
    <t>КГУ ОСШ с.Исаковка</t>
  </si>
  <si>
    <t>КГУ ОСШ с.Оркен</t>
  </si>
  <si>
    <t>КГУ ОСШ с.Кызылсая</t>
  </si>
  <si>
    <t>КГУ ОСШ с.Кызылтан</t>
  </si>
  <si>
    <t>КГУ ОСШ с.Молодежное</t>
  </si>
  <si>
    <t>КГУ ОШ с.Ортагаш</t>
  </si>
  <si>
    <t>КГУ ОСШ с.Ортак</t>
  </si>
  <si>
    <t>КГУ ОСШ с.Приречное</t>
  </si>
  <si>
    <t>КГУ ОСШ с.Озен</t>
  </si>
  <si>
    <t>КГУ ОСШ с.Садовое</t>
  </si>
  <si>
    <t>КГУ ОСШ с.Сейфулино</t>
  </si>
  <si>
    <t>КГУ ОСШ с.Симферополь</t>
  </si>
  <si>
    <t>КГУ ОШ с.Троицк</t>
  </si>
  <si>
    <t>КГУ ОСШ с.Шагалалы</t>
  </si>
  <si>
    <t>КГУ ОШ с.Азат</t>
  </si>
  <si>
    <t>КГУ ОШ с.Айдарлы</t>
  </si>
  <si>
    <t>КГУ ОШ с.Акан</t>
  </si>
  <si>
    <t>КГУ ОСШ с.Байтерек</t>
  </si>
  <si>
    <t>КГУ ОШ с. Баратай</t>
  </si>
  <si>
    <t>КГУ ОШ с.Васильковка</t>
  </si>
  <si>
    <t>КГУ ОШ с.Гранитное</t>
  </si>
  <si>
    <t>КГУ ОШ с.Донгулагаш</t>
  </si>
  <si>
    <t>КГУ ОШ с.Жолдыбай</t>
  </si>
  <si>
    <t>КГУ ОШ с.Жылымды</t>
  </si>
  <si>
    <t>КГУ ОШ с.Зереченое</t>
  </si>
  <si>
    <t>КГУ ОШ с.Канайби</t>
  </si>
  <si>
    <t>КГУ ОШ с.Кенеоткель</t>
  </si>
  <si>
    <t>КГУ ОШ с.Костомаровка</t>
  </si>
  <si>
    <t>КГУ ОШ  с.Красный кордон</t>
  </si>
  <si>
    <t>КГУ ОШ с.Кызылегис</t>
  </si>
  <si>
    <t>КГУ ОШ с.Малотюкты</t>
  </si>
  <si>
    <t>КГУ ОШ с.Ескенижал</t>
  </si>
  <si>
    <t xml:space="preserve">КГУ ОШ с.Малика Габдуллина </t>
  </si>
  <si>
    <t>КГУ ОШ с.Уголки</t>
  </si>
  <si>
    <t>КГУ НШ с.Жанаул</t>
  </si>
  <si>
    <t>КГУ НШ с.Ивановка</t>
  </si>
  <si>
    <t>КГУ НШ с.Павловка</t>
  </si>
  <si>
    <t>КГУ НШ с.Карагай</t>
  </si>
  <si>
    <t>КГУ НШ с.Караузек</t>
  </si>
  <si>
    <t>КГУ НШ с.Карсак</t>
  </si>
  <si>
    <t>КГУ НШ с.Красиловка</t>
  </si>
  <si>
    <t xml:space="preserve">ГУ Отдел образования </t>
  </si>
  <si>
    <t>Вечерка</t>
  </si>
  <si>
    <t>ИТОГО:</t>
  </si>
  <si>
    <t>тыс.т.</t>
  </si>
  <si>
    <t>Руководитель</t>
  </si>
  <si>
    <t>Кенжеболатова Д.Ш.</t>
  </si>
  <si>
    <t xml:space="preserve">ГСМ /144 </t>
  </si>
  <si>
    <t xml:space="preserve">Сводная информация  по школам по открытым бюджетам  на 2025 год </t>
  </si>
  <si>
    <t>КГУ ОШ ст.Чаглинка</t>
  </si>
  <si>
    <t>295 соляр</t>
  </si>
  <si>
    <t>3700 солярка</t>
  </si>
  <si>
    <t>солярка</t>
  </si>
  <si>
    <t xml:space="preserve">Информация по открытым бюджетам по  Отделу образования  на 2025 год </t>
  </si>
  <si>
    <t>25.02.2025г</t>
  </si>
  <si>
    <t>________________</t>
  </si>
  <si>
    <t xml:space="preserve">Руководитель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</si>
</sst>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[$-419]General"/>
    <numFmt numFmtId="166" formatCode="0.0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7" fillId="0" borderId="0" applyBorder="0" applyProtection="0"/>
  </cellStyleXfs>
  <cellXfs count="164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8" fillId="2" borderId="6" xfId="1" applyFont="1" applyFill="1" applyBorder="1" applyAlignment="1">
      <alignment horizontal="center" vertical="center" wrapText="1"/>
    </xf>
    <xf numFmtId="0" fontId="9" fillId="2" borderId="10" xfId="0" applyFont="1" applyFill="1" applyBorder="1"/>
    <xf numFmtId="2" fontId="10" fillId="2" borderId="6" xfId="1" applyNumberFormat="1" applyFont="1" applyFill="1" applyBorder="1" applyAlignment="1">
      <alignment vertical="top" wrapText="1"/>
    </xf>
    <xf numFmtId="164" fontId="10" fillId="2" borderId="6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6" xfId="0" applyNumberFormat="1" applyFont="1" applyFill="1" applyBorder="1" applyAlignment="1">
      <alignment horizontal="center" vertical="center" wrapText="1"/>
    </xf>
    <xf numFmtId="164" fontId="0" fillId="2" borderId="6" xfId="0" applyNumberFormat="1" applyFill="1" applyBorder="1"/>
    <xf numFmtId="0" fontId="0" fillId="2" borderId="0" xfId="0" applyFill="1"/>
    <xf numFmtId="4" fontId="0" fillId="2" borderId="0" xfId="0" applyNumberFormat="1" applyFill="1"/>
    <xf numFmtId="165" fontId="8" fillId="2" borderId="11" xfId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8" fillId="2" borderId="12" xfId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top" wrapText="1"/>
    </xf>
    <xf numFmtId="3" fontId="4" fillId="2" borderId="9" xfId="0" applyNumberFormat="1" applyFont="1" applyFill="1" applyBorder="1" applyAlignment="1">
      <alignment horizontal="center" vertical="center" wrapText="1"/>
    </xf>
    <xf numFmtId="164" fontId="10" fillId="2" borderId="6" xfId="1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top" wrapText="1"/>
    </xf>
    <xf numFmtId="166" fontId="6" fillId="2" borderId="6" xfId="0" applyNumberFormat="1" applyFont="1" applyFill="1" applyBorder="1" applyAlignment="1">
      <alignment horizontal="center" vertical="top" wrapText="1"/>
    </xf>
    <xf numFmtId="164" fontId="9" fillId="2" borderId="6" xfId="1" applyNumberFormat="1" applyFont="1" applyFill="1" applyBorder="1" applyAlignment="1">
      <alignment vertical="top" wrapText="1"/>
    </xf>
    <xf numFmtId="3" fontId="12" fillId="2" borderId="6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3" fillId="2" borderId="0" xfId="0" applyFont="1" applyFill="1"/>
    <xf numFmtId="164" fontId="10" fillId="2" borderId="6" xfId="1" applyNumberFormat="1" applyFont="1" applyFill="1" applyBorder="1" applyAlignment="1"/>
    <xf numFmtId="165" fontId="10" fillId="2" borderId="13" xfId="1" applyFont="1" applyFill="1" applyBorder="1" applyAlignment="1">
      <alignment vertical="top" wrapText="1"/>
    </xf>
    <xf numFmtId="164" fontId="14" fillId="2" borderId="6" xfId="1" applyNumberFormat="1" applyFont="1" applyFill="1" applyBorder="1" applyAlignment="1"/>
    <xf numFmtId="0" fontId="15" fillId="2" borderId="0" xfId="0" applyFont="1" applyFill="1"/>
    <xf numFmtId="164" fontId="15" fillId="2" borderId="6" xfId="0" applyNumberFormat="1" applyFont="1" applyFill="1" applyBorder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164" fontId="17" fillId="0" borderId="0" xfId="0" applyNumberFormat="1" applyFont="1"/>
    <xf numFmtId="3" fontId="17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7" fillId="2" borderId="0" xfId="0" applyNumberFormat="1" applyFont="1" applyFill="1" applyAlignment="1">
      <alignment horizontal="center"/>
    </xf>
    <xf numFmtId="3" fontId="17" fillId="2" borderId="0" xfId="0" applyNumberFormat="1" applyFont="1" applyFill="1" applyAlignment="1">
      <alignment horizontal="center"/>
    </xf>
    <xf numFmtId="0" fontId="2" fillId="0" borderId="0" xfId="0" applyFont="1" applyAlignment="1"/>
    <xf numFmtId="3" fontId="18" fillId="2" borderId="0" xfId="0" applyNumberFormat="1" applyFont="1" applyFill="1" applyAlignment="1">
      <alignment horizontal="center" vertical="center" wrapText="1"/>
    </xf>
    <xf numFmtId="0" fontId="18" fillId="0" borderId="0" xfId="0" applyFont="1"/>
    <xf numFmtId="0" fontId="19" fillId="0" borderId="0" xfId="0" applyFont="1" applyBorder="1" applyAlignment="1">
      <alignment horizontal="center"/>
    </xf>
    <xf numFmtId="14" fontId="19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49" fontId="18" fillId="2" borderId="0" xfId="0" applyNumberFormat="1" applyFont="1" applyFill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165" fontId="20" fillId="2" borderId="12" xfId="1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vertical="top" wrapText="1"/>
    </xf>
    <xf numFmtId="0" fontId="14" fillId="2" borderId="8" xfId="0" applyFont="1" applyFill="1" applyBorder="1" applyAlignment="1">
      <alignment vertical="top" wrapText="1"/>
    </xf>
    <xf numFmtId="3" fontId="11" fillId="2" borderId="6" xfId="0" applyNumberFormat="1" applyFont="1" applyFill="1" applyBorder="1" applyAlignment="1">
      <alignment horizontal="center" vertical="center" wrapText="1"/>
    </xf>
    <xf numFmtId="4" fontId="18" fillId="2" borderId="6" xfId="0" applyNumberFormat="1" applyFont="1" applyFill="1" applyBorder="1"/>
    <xf numFmtId="0" fontId="18" fillId="2" borderId="6" xfId="0" applyFont="1" applyFill="1" applyBorder="1"/>
    <xf numFmtId="164" fontId="18" fillId="2" borderId="6" xfId="0" applyNumberFormat="1" applyFont="1" applyFill="1" applyBorder="1"/>
    <xf numFmtId="0" fontId="18" fillId="2" borderId="0" xfId="0" applyFont="1" applyFill="1"/>
    <xf numFmtId="4" fontId="18" fillId="2" borderId="0" xfId="0" applyNumberFormat="1" applyFont="1" applyFill="1"/>
    <xf numFmtId="165" fontId="9" fillId="2" borderId="12" xfId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/>
    </xf>
    <xf numFmtId="0" fontId="19" fillId="2" borderId="0" xfId="0" applyFont="1" applyFill="1"/>
    <xf numFmtId="164" fontId="19" fillId="2" borderId="6" xfId="0" applyNumberFormat="1" applyFont="1" applyFill="1" applyBorder="1"/>
    <xf numFmtId="0" fontId="11" fillId="2" borderId="0" xfId="0" applyFont="1" applyFill="1"/>
    <xf numFmtId="164" fontId="11" fillId="2" borderId="0" xfId="0" applyNumberFormat="1" applyFont="1" applyFill="1"/>
    <xf numFmtId="3" fontId="11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3" fontId="11" fillId="2" borderId="0" xfId="0" applyNumberFormat="1" applyFont="1" applyFill="1" applyAlignment="1">
      <alignment horizontal="center" vertical="center" wrapText="1"/>
    </xf>
    <xf numFmtId="4" fontId="18" fillId="2" borderId="6" xfId="0" applyNumberFormat="1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0" fontId="19" fillId="0" borderId="6" xfId="0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center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3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3" fontId="17" fillId="2" borderId="0" xfId="0" applyNumberFormat="1" applyFont="1" applyFill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5" fontId="14" fillId="2" borderId="13" xfId="1" applyFont="1" applyFill="1" applyBorder="1" applyAlignment="1">
      <alignment horizontal="center"/>
    </xf>
    <xf numFmtId="165" fontId="14" fillId="2" borderId="14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17" fillId="2" borderId="0" xfId="0" applyNumberFormat="1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3" fontId="1" fillId="2" borderId="6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0" fontId="21" fillId="0" borderId="0" xfId="0" applyFont="1"/>
    <xf numFmtId="164" fontId="21" fillId="0" borderId="0" xfId="0" applyNumberFormat="1" applyFont="1"/>
    <xf numFmtId="3" fontId="21" fillId="2" borderId="0" xfId="0" applyNumberFormat="1" applyFont="1" applyFill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mBook\Desktop\&#1054;&#1090;&#1082;&#1088;&#1099;&#1090;&#1099;&#1077;%20&#1073;&#1102;&#1076;&#1078;&#1077;&#1090;&#1099;%202022\&#1040;&#1040;&#1040;1.01.%20&#1058;&#1072;&#1088;&#1080;&#1092;&#1080;&#1082;&#1072;&#1094;&#1080;&#1103;%20%20%202021&#1075;&#1086;&#1076;\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mBook\Desktop\01.09.2024&#1075;%20&#1058;&#1040;&#1056;&#1048;&#1060;&#1048;&#1050;&#1040;&#1062;&#1048;&#1071;%202024&#1075;&#1075;%20&#8212;\01.09.&#1064;&#1058;&#1040;&#1058;&#1053;&#1054;&#1045;%20&#1064;&#1050;&#1054;&#1051;&#1067;%20&#1055;&#1054;&#1057;&#1051;&#1045;&#1044;&#1053;&#1048;&#1049;%20%20(&#1040;&#1074;&#1090;&#1086;&#1089;&#1086;&#1093;&#1088;&#1072;&#1085;&#1077;&#1085;&#1085;&#1099;&#1081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mBook\Desktop\&#1052;&#1054;&#1048;%20&#1076;&#1086;&#1082;&#1091;&#1084;&#1077;&#1085;&#1090;&#1099;\&#1087;&#1077;&#1088;&#1077;&#1093;&#1086;&#1076;%20&#1085;&#1072;%20&#1091;&#1075;&#1086;&#1083;&#1100;%2025.05.2022&#1075;\&#1056;&#1072;&#1089;&#1095;&#1077;&#1090;%20&#1091;&#1075;&#1083;&#1103;%20&#1085;&#1072;%202023%20&#1075;&#1086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8;&#1072;&#1073;&#1086;&#1095;&#1080;&#1081;%20&#1089;&#1090;&#1086;&#1083;\01.01.2025%20&#1058;&#1040;&#1056;&#1048;&#1060;&#1048;&#1050;&#1040;&#1062;&#1048;&#1071;\&#1064;&#1058;&#1040;&#1058;&#1053;&#1054;&#1045;%20&#1064;&#1050;&#1054;&#1051;&#1067;%200101.2025&#1075;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7">
          <cell r="J7">
            <v>12013720.855255393</v>
          </cell>
        </row>
        <row r="8">
          <cell r="J8">
            <v>8629271.2720314339</v>
          </cell>
        </row>
        <row r="9">
          <cell r="J9">
            <v>7625100.2980835158</v>
          </cell>
        </row>
        <row r="11">
          <cell r="J11">
            <v>9385117.6688126847</v>
          </cell>
        </row>
        <row r="12">
          <cell r="J12">
            <v>7425181.3609999996</v>
          </cell>
        </row>
        <row r="13">
          <cell r="J13">
            <v>13746179.402885601</v>
          </cell>
        </row>
        <row r="15">
          <cell r="J15">
            <v>7837638.0911145825</v>
          </cell>
        </row>
        <row r="17">
          <cell r="J17">
            <v>15896303.081448099</v>
          </cell>
        </row>
        <row r="19">
          <cell r="J19">
            <v>7732127.8151980983</v>
          </cell>
        </row>
        <row r="20">
          <cell r="J20">
            <v>5306275.8012449741</v>
          </cell>
        </row>
        <row r="21">
          <cell r="J21">
            <v>7141379.7636512872</v>
          </cell>
        </row>
        <row r="22">
          <cell r="J22">
            <v>6462736.9432605999</v>
          </cell>
        </row>
        <row r="23">
          <cell r="J23">
            <v>14444194.371994976</v>
          </cell>
        </row>
        <row r="24">
          <cell r="J24">
            <v>9823182.4827918485</v>
          </cell>
        </row>
        <row r="25">
          <cell r="J25">
            <v>6848269.5907918485</v>
          </cell>
        </row>
        <row r="26">
          <cell r="J26">
            <v>4381301.3616408091</v>
          </cell>
        </row>
        <row r="27">
          <cell r="J27">
            <v>8205632.5673637241</v>
          </cell>
        </row>
        <row r="28">
          <cell r="J28">
            <v>9770760.7949533071</v>
          </cell>
        </row>
        <row r="29">
          <cell r="J29">
            <v>10489088.921817891</v>
          </cell>
        </row>
        <row r="30">
          <cell r="J30">
            <v>6201442.2744585164</v>
          </cell>
        </row>
        <row r="31">
          <cell r="J31">
            <v>7591403.3973699752</v>
          </cell>
        </row>
        <row r="32">
          <cell r="J32">
            <v>6678490.0416564327</v>
          </cell>
        </row>
        <row r="34">
          <cell r="J34">
            <v>6468239.5284918509</v>
          </cell>
        </row>
        <row r="35">
          <cell r="J35">
            <v>3807968.9260522663</v>
          </cell>
        </row>
        <row r="36">
          <cell r="J36">
            <v>4405815.0499579459</v>
          </cell>
        </row>
        <row r="38">
          <cell r="J38">
            <v>4116466.6800585166</v>
          </cell>
        </row>
        <row r="39">
          <cell r="J39">
            <v>7587091.2818296626</v>
          </cell>
        </row>
        <row r="40">
          <cell r="J40">
            <v>4508878.2471876815</v>
          </cell>
        </row>
        <row r="41">
          <cell r="J41">
            <v>8241468.3737085164</v>
          </cell>
        </row>
        <row r="42">
          <cell r="J42">
            <v>6425079.5290933633</v>
          </cell>
        </row>
        <row r="43">
          <cell r="J43">
            <v>3725833.7278121137</v>
          </cell>
        </row>
        <row r="44">
          <cell r="J44">
            <v>5387875.1330599748</v>
          </cell>
        </row>
        <row r="45">
          <cell r="J45">
            <v>3701828.7106355992</v>
          </cell>
        </row>
        <row r="46">
          <cell r="J46">
            <v>4431680.345279349</v>
          </cell>
        </row>
        <row r="48">
          <cell r="J48">
            <v>3733460.5312137241</v>
          </cell>
        </row>
        <row r="51">
          <cell r="J51">
            <v>5683780.2916720584</v>
          </cell>
        </row>
        <row r="52">
          <cell r="J52">
            <v>3830868.4139168495</v>
          </cell>
        </row>
        <row r="53">
          <cell r="J53">
            <v>3357714.7371766972</v>
          </cell>
        </row>
        <row r="55">
          <cell r="J55">
            <v>4295933.2007964896</v>
          </cell>
        </row>
        <row r="56">
          <cell r="J56">
            <v>3834752.3088121144</v>
          </cell>
        </row>
        <row r="57">
          <cell r="J57">
            <v>7420792.3418682674</v>
          </cell>
        </row>
        <row r="58">
          <cell r="J58">
            <v>3217411.9115719004</v>
          </cell>
        </row>
        <row r="59">
          <cell r="J59">
            <v>8821575.2963335179</v>
          </cell>
        </row>
        <row r="60">
          <cell r="J60">
            <v>1565619.1166996141</v>
          </cell>
        </row>
        <row r="61">
          <cell r="J61">
            <v>1148854.4637297257</v>
          </cell>
        </row>
        <row r="62">
          <cell r="J62">
            <v>1161630.3581651424</v>
          </cell>
        </row>
        <row r="63">
          <cell r="J63">
            <v>1032842.529894309</v>
          </cell>
        </row>
        <row r="64">
          <cell r="J64">
            <v>869213.7286037805</v>
          </cell>
        </row>
        <row r="65">
          <cell r="J65">
            <v>1154810.2987829472</v>
          </cell>
        </row>
        <row r="67">
          <cell r="J67">
            <v>1292308.1337484759</v>
          </cell>
        </row>
        <row r="69">
          <cell r="J69">
            <v>4058489.9515520833</v>
          </cell>
        </row>
        <row r="77">
          <cell r="I77">
            <v>5328150.2674687505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йдаб"/>
      <sheetName val="Абай"/>
      <sheetName val="Акколь инклюз"/>
      <sheetName val="Акколь"/>
      <sheetName val="Акадыр"/>
      <sheetName val="Алексеевка"/>
      <sheetName val="Викторовская"/>
      <sheetName val="Еликты"/>
      <sheetName val="Бирлестык"/>
      <sheetName val=".Еленовка"/>
      <sheetName val="Долом"/>
      <sheetName val="ЗСШ №1"/>
      <sheetName val=" ЗКСШ "/>
      <sheetName val=" ЗСШ №2"/>
      <sheetName val="Исаковка 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булак нш"/>
      <sheetName val="гранитное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Кост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  <sheetName val="113 разрядники"/>
      <sheetName val="интернат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7">
          <cell r="L7">
            <v>220041.39511274965</v>
          </cell>
        </row>
        <row r="42">
          <cell r="L42">
            <v>97706.213209330832</v>
          </cell>
        </row>
      </sheetData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9">
          <cell r="AC9">
            <v>5736.48</v>
          </cell>
        </row>
        <row r="25">
          <cell r="AC25">
            <v>3306.32</v>
          </cell>
        </row>
        <row r="26">
          <cell r="AC26">
            <v>3253.04</v>
          </cell>
        </row>
        <row r="61">
          <cell r="AC61">
            <v>1309.5039999999997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"/>
      <sheetName val="Акадыр"/>
      <sheetName val="Алексеевка"/>
      <sheetName val="Акколь"/>
      <sheetName val="Еликты"/>
      <sheetName val="Бирлестык"/>
      <sheetName val="Байтерек"/>
      <sheetName val=" Викторовка "/>
      <sheetName val=".Еленовка"/>
      <sheetName val="Долом"/>
      <sheetName val="ЗСШ №1"/>
      <sheetName val=" ЗКСШ "/>
      <sheetName val="интернат "/>
      <sheetName val="ЗСШ №2"/>
      <sheetName val=" Исаковка"/>
      <sheetName val="Иглик"/>
      <sheetName val="Кызылсая"/>
      <sheetName val="К-тан "/>
      <sheetName val="Оркен"/>
      <sheetName val="Молодеж"/>
      <sheetName val=" Ортак"/>
      <sheetName val="озен"/>
      <sheetName val="Садовое"/>
      <sheetName val="Симфероп"/>
      <sheetName val="Приречн"/>
      <sheetName val="Сейфул"/>
      <sheetName val="Чаглинка СШ"/>
      <sheetName val="Акан"/>
      <sheetName val="Азат"/>
      <sheetName val="Айдарлы"/>
      <sheetName val="Барат"/>
      <sheetName val=" Канай-би "/>
      <sheetName val="Васильковка"/>
      <sheetName val="гранитное"/>
      <sheetName val="Донг"/>
      <sheetName val="Зареч"/>
      <sheetName val="Жолд"/>
      <sheetName val="Жылым"/>
      <sheetName val="Троицк"/>
      <sheetName val="ортагаш"/>
      <sheetName val="Кр.Кордон"/>
      <sheetName val="К-егис"/>
      <sheetName val="Кенеткуль "/>
      <sheetName val="Мало-тюкты"/>
      <sheetName val="Ескенижал"/>
      <sheetName val="Малика Габдул"/>
      <sheetName val="уголки"/>
      <sheetName val="Чаглинская ОШ"/>
      <sheetName val="Кост"/>
      <sheetName val="Красиловка"/>
      <sheetName val="жанаул"/>
      <sheetName val="павл"/>
      <sheetName val="ивановская"/>
      <sheetName val="караузек"/>
      <sheetName val="карсак"/>
      <sheetName val="карагай"/>
      <sheetName val="Вечерка "/>
      <sheetName val="Свод "/>
      <sheetName val="083 Водители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L7">
            <v>228920.43150544472</v>
          </cell>
        </row>
        <row r="8">
          <cell r="L8">
            <v>203068.35730068752</v>
          </cell>
        </row>
        <row r="9">
          <cell r="L9">
            <v>153186.49682241588</v>
          </cell>
        </row>
        <row r="10">
          <cell r="L10">
            <v>155844.27364103857</v>
          </cell>
        </row>
        <row r="11">
          <cell r="L11">
            <v>281170.00270843355</v>
          </cell>
        </row>
        <row r="12">
          <cell r="L12">
            <v>185315.61307535946</v>
          </cell>
        </row>
        <row r="13">
          <cell r="L13">
            <v>225457.0735108885</v>
          </cell>
        </row>
        <row r="14">
          <cell r="L14">
            <v>115678.78622580545</v>
          </cell>
        </row>
        <row r="15">
          <cell r="L15">
            <v>242405.48246276629</v>
          </cell>
        </row>
        <row r="16">
          <cell r="L16">
            <v>228954.29789268749</v>
          </cell>
        </row>
        <row r="17">
          <cell r="L17">
            <v>148551.03624515273</v>
          </cell>
        </row>
        <row r="18">
          <cell r="L18">
            <v>477251.92727896868</v>
          </cell>
        </row>
        <row r="19">
          <cell r="L19">
            <v>322235.67157596117</v>
          </cell>
        </row>
        <row r="20">
          <cell r="L20">
            <v>214849.03782112509</v>
          </cell>
        </row>
        <row r="21">
          <cell r="L21">
            <v>154655.75134870756</v>
          </cell>
        </row>
        <row r="22">
          <cell r="L22">
            <v>128410.13498407591</v>
          </cell>
        </row>
        <row r="23">
          <cell r="L23">
            <v>121895.1868598625</v>
          </cell>
        </row>
        <row r="24">
          <cell r="L24">
            <v>137551.92617614073</v>
          </cell>
        </row>
        <row r="25">
          <cell r="L25">
            <v>272910.97493566328</v>
          </cell>
        </row>
        <row r="26">
          <cell r="L26">
            <v>160819.5063552036</v>
          </cell>
        </row>
        <row r="27">
          <cell r="L27">
            <v>125827.73342974798</v>
          </cell>
        </row>
        <row r="28">
          <cell r="L28">
            <v>136977.27020304691</v>
          </cell>
        </row>
        <row r="29">
          <cell r="L29">
            <v>202909.6029928838</v>
          </cell>
        </row>
        <row r="30">
          <cell r="L30">
            <v>204743.41193447838</v>
          </cell>
        </row>
        <row r="31">
          <cell r="L31">
            <v>145196.41513331985</v>
          </cell>
        </row>
        <row r="32">
          <cell r="L32">
            <v>135315.66920373752</v>
          </cell>
        </row>
        <row r="33">
          <cell r="L33">
            <v>291728.82011335104</v>
          </cell>
        </row>
        <row r="34">
          <cell r="L34">
            <v>109780.70237080315</v>
          </cell>
        </row>
        <row r="35">
          <cell r="L35">
            <v>72492.188680575884</v>
          </cell>
        </row>
        <row r="36">
          <cell r="L36">
            <v>72798.854047710382</v>
          </cell>
        </row>
        <row r="37">
          <cell r="L37">
            <v>62580.935976223001</v>
          </cell>
        </row>
        <row r="38">
          <cell r="L38">
            <v>80076.573047722355</v>
          </cell>
        </row>
        <row r="39">
          <cell r="L39">
            <v>167981.15700476401</v>
          </cell>
        </row>
        <row r="40">
          <cell r="L40">
            <v>116266.02602512499</v>
          </cell>
        </row>
        <row r="41">
          <cell r="L41">
            <v>85731.575195557816</v>
          </cell>
        </row>
        <row r="43">
          <cell r="L43">
            <v>67031.031786480948</v>
          </cell>
        </row>
        <row r="44">
          <cell r="L44">
            <v>79994.468972418719</v>
          </cell>
        </row>
        <row r="45">
          <cell r="L45">
            <v>83921.800219865399</v>
          </cell>
        </row>
        <row r="46">
          <cell r="L46">
            <v>86279.690402353328</v>
          </cell>
        </row>
        <row r="47">
          <cell r="L47">
            <v>128920.77412773094</v>
          </cell>
        </row>
        <row r="48">
          <cell r="L48">
            <v>56983.384589554538</v>
          </cell>
        </row>
        <row r="49">
          <cell r="L49">
            <v>54723.970530171937</v>
          </cell>
        </row>
        <row r="50">
          <cell r="L50">
            <v>97234.382479418462</v>
          </cell>
        </row>
        <row r="51">
          <cell r="L51">
            <v>51646.323394326981</v>
          </cell>
        </row>
        <row r="52">
          <cell r="L52">
            <v>137036.91362206254</v>
          </cell>
        </row>
        <row r="53">
          <cell r="L53">
            <v>52836.383238378039</v>
          </cell>
        </row>
        <row r="54">
          <cell r="L54">
            <v>161370.45913798903</v>
          </cell>
        </row>
        <row r="55">
          <cell r="L55">
            <v>27839.881596890853</v>
          </cell>
        </row>
        <row r="56">
          <cell r="L56">
            <v>31721.913872132929</v>
          </cell>
        </row>
        <row r="57">
          <cell r="L57">
            <v>24853.461222108552</v>
          </cell>
        </row>
        <row r="58">
          <cell r="L58">
            <v>26829.323020910382</v>
          </cell>
        </row>
        <row r="59">
          <cell r="L59">
            <v>23609.09994863523</v>
          </cell>
        </row>
        <row r="60">
          <cell r="L60">
            <v>19258.974386166476</v>
          </cell>
        </row>
        <row r="61">
          <cell r="L61">
            <v>21191.194785666481</v>
          </cell>
        </row>
        <row r="62">
          <cell r="L62">
            <v>19210.720750510231</v>
          </cell>
        </row>
        <row r="63">
          <cell r="L63">
            <v>77129.72253600003</v>
          </cell>
        </row>
      </sheetData>
      <sheetData sheetId="5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tabSelected="1" workbookViewId="0">
      <pane xSplit="7" ySplit="7" topLeftCell="H48" activePane="bottomRight" state="frozen"/>
      <selection pane="topRight" activeCell="H1" sqref="H1"/>
      <selection pane="bottomLeft" activeCell="A8" sqref="A8"/>
      <selection pane="bottomRight" activeCell="P62" sqref="P62"/>
    </sheetView>
  </sheetViews>
  <sheetFormatPr defaultRowHeight="15" x14ac:dyDescent="0.25"/>
  <cols>
    <col min="1" max="1" width="4.5703125" customWidth="1"/>
    <col min="2" max="2" width="33.5703125" customWidth="1"/>
    <col min="3" max="3" width="15.7109375" style="56" hidden="1" customWidth="1"/>
    <col min="4" max="4" width="12.7109375" style="56" hidden="1" customWidth="1"/>
    <col min="5" max="5" width="10.5703125" style="56" hidden="1" customWidth="1"/>
    <col min="6" max="6" width="11.42578125" style="56" hidden="1" customWidth="1"/>
    <col min="7" max="9" width="13.7109375" style="57" customWidth="1"/>
    <col min="10" max="10" width="13.140625" style="57" customWidth="1"/>
    <col min="11" max="12" width="14.42578125" style="57" customWidth="1"/>
    <col min="13" max="13" width="15.7109375" style="57" customWidth="1"/>
    <col min="14" max="14" width="12.140625" style="58" customWidth="1"/>
    <col min="15" max="17" width="12.28515625" style="58" customWidth="1"/>
    <col min="18" max="18" width="11.85546875" style="58" customWidth="1"/>
    <col min="19" max="19" width="11" style="58" hidden="1" customWidth="1"/>
    <col min="20" max="21" width="10.7109375" style="58" hidden="1" customWidth="1"/>
    <col min="22" max="22" width="17.85546875" style="4" customWidth="1"/>
    <col min="23" max="23" width="0.140625" customWidth="1"/>
    <col min="24" max="24" width="11.42578125" hidden="1" customWidth="1"/>
    <col min="25" max="25" width="12.140625" hidden="1" customWidth="1"/>
  </cols>
  <sheetData>
    <row r="1" spans="1:26" ht="20.25" x14ac:dyDescent="0.3">
      <c r="A1" s="1"/>
      <c r="B1" s="130" t="s">
        <v>84</v>
      </c>
      <c r="C1" s="130"/>
      <c r="D1" s="130"/>
      <c r="E1" s="130"/>
      <c r="F1" s="130"/>
      <c r="G1" s="130"/>
      <c r="H1" s="130"/>
      <c r="I1" s="130"/>
      <c r="J1" s="130"/>
      <c r="K1" s="130"/>
      <c r="L1" s="2"/>
      <c r="M1" s="3"/>
      <c r="N1" s="2"/>
      <c r="O1" s="2"/>
      <c r="P1" s="2"/>
      <c r="Q1" s="2"/>
      <c r="R1" s="2"/>
      <c r="S1" s="2"/>
      <c r="T1" s="2"/>
      <c r="U1" s="2"/>
    </row>
    <row r="2" spans="1:26" ht="15.75" x14ac:dyDescent="0.25">
      <c r="B2" s="131" t="s">
        <v>90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5"/>
      <c r="R2" s="6"/>
      <c r="S2" s="7"/>
      <c r="T2" s="7"/>
      <c r="U2" s="7"/>
      <c r="V2" s="105" t="s">
        <v>80</v>
      </c>
    </row>
    <row r="3" spans="1:26" ht="15.75" x14ac:dyDescent="0.25">
      <c r="A3" s="8" t="s">
        <v>0</v>
      </c>
      <c r="B3" s="113" t="s">
        <v>1</v>
      </c>
      <c r="C3" s="72"/>
      <c r="D3" s="72"/>
      <c r="E3" s="72"/>
      <c r="F3" s="72"/>
      <c r="G3" s="112" t="s">
        <v>2</v>
      </c>
      <c r="H3" s="112"/>
      <c r="I3" s="133" t="s">
        <v>3</v>
      </c>
      <c r="J3" s="134"/>
      <c r="K3" s="135"/>
      <c r="L3" s="134" t="s">
        <v>4</v>
      </c>
      <c r="M3" s="138" t="s">
        <v>5</v>
      </c>
      <c r="N3" s="139"/>
      <c r="O3" s="139"/>
      <c r="P3" s="139"/>
      <c r="Q3" s="139"/>
      <c r="R3" s="140"/>
      <c r="S3" s="125"/>
      <c r="T3" s="119"/>
      <c r="U3" s="119"/>
      <c r="V3" s="122" t="s">
        <v>6</v>
      </c>
    </row>
    <row r="4" spans="1:26" ht="2.25" customHeight="1" x14ac:dyDescent="0.25">
      <c r="A4" s="9"/>
      <c r="B4" s="144"/>
      <c r="C4" s="144"/>
      <c r="D4" s="144"/>
      <c r="E4" s="144"/>
      <c r="F4" s="144"/>
      <c r="G4" s="144"/>
      <c r="H4" s="144"/>
      <c r="I4" s="144"/>
      <c r="J4" s="144"/>
      <c r="K4" s="114"/>
      <c r="L4" s="136"/>
      <c r="M4" s="115"/>
      <c r="N4" s="115"/>
      <c r="O4" s="115"/>
      <c r="P4" s="115"/>
      <c r="Q4" s="115"/>
      <c r="R4" s="115"/>
      <c r="S4" s="126"/>
      <c r="T4" s="120"/>
      <c r="U4" s="120"/>
      <c r="V4" s="123"/>
    </row>
    <row r="5" spans="1:26" ht="15" hidden="1" customHeight="1" x14ac:dyDescent="0.25">
      <c r="A5" s="9"/>
      <c r="B5" s="116"/>
      <c r="C5" s="117"/>
      <c r="D5" s="117"/>
      <c r="E5" s="117"/>
      <c r="F5" s="117"/>
      <c r="G5" s="114"/>
      <c r="H5" s="114"/>
      <c r="I5" s="114"/>
      <c r="J5" s="114"/>
      <c r="K5" s="114"/>
      <c r="L5" s="136"/>
      <c r="M5" s="115"/>
      <c r="N5" s="115"/>
      <c r="O5" s="115"/>
      <c r="P5" s="115"/>
      <c r="Q5" s="115"/>
      <c r="R5" s="115"/>
      <c r="S5" s="126"/>
      <c r="T5" s="120"/>
      <c r="U5" s="120"/>
      <c r="V5" s="123"/>
    </row>
    <row r="6" spans="1:26" ht="30" customHeight="1" x14ac:dyDescent="0.25">
      <c r="A6" s="10"/>
      <c r="B6" s="74"/>
      <c r="C6" s="110"/>
      <c r="D6" s="145" t="s">
        <v>11</v>
      </c>
      <c r="E6" s="145"/>
      <c r="F6" s="145"/>
      <c r="G6" s="111" t="s">
        <v>12</v>
      </c>
      <c r="H6" s="111"/>
      <c r="I6" s="146" t="s">
        <v>13</v>
      </c>
      <c r="J6" s="146"/>
      <c r="K6" s="146"/>
      <c r="L6" s="136"/>
      <c r="M6" s="138" t="s">
        <v>14</v>
      </c>
      <c r="N6" s="139"/>
      <c r="O6" s="139"/>
      <c r="P6" s="139"/>
      <c r="Q6" s="140"/>
      <c r="R6" s="141" t="s">
        <v>83</v>
      </c>
      <c r="S6" s="126"/>
      <c r="T6" s="120"/>
      <c r="U6" s="120"/>
      <c r="V6" s="123"/>
    </row>
    <row r="7" spans="1:26" ht="53.25" customHeight="1" x14ac:dyDescent="0.25">
      <c r="A7" s="10"/>
      <c r="B7" s="74"/>
      <c r="C7" s="110">
        <v>111</v>
      </c>
      <c r="D7" s="110">
        <v>121</v>
      </c>
      <c r="E7" s="110">
        <v>122</v>
      </c>
      <c r="F7" s="110">
        <v>124</v>
      </c>
      <c r="G7" s="111" t="s">
        <v>16</v>
      </c>
      <c r="H7" s="111">
        <v>113</v>
      </c>
      <c r="I7" s="111">
        <v>121</v>
      </c>
      <c r="J7" s="111">
        <v>122</v>
      </c>
      <c r="K7" s="111">
        <v>124</v>
      </c>
      <c r="L7" s="137"/>
      <c r="M7" s="111" t="s">
        <v>17</v>
      </c>
      <c r="N7" s="79" t="s">
        <v>18</v>
      </c>
      <c r="O7" s="80" t="s">
        <v>19</v>
      </c>
      <c r="P7" s="80" t="s">
        <v>20</v>
      </c>
      <c r="Q7" s="80" t="s">
        <v>21</v>
      </c>
      <c r="R7" s="142"/>
      <c r="S7" s="127"/>
      <c r="T7" s="121"/>
      <c r="U7" s="121"/>
      <c r="V7" s="124"/>
    </row>
    <row r="8" spans="1:26" s="22" customFormat="1" ht="16.5" customHeight="1" x14ac:dyDescent="0.25">
      <c r="A8" s="11">
        <v>1</v>
      </c>
      <c r="B8" s="12" t="s">
        <v>22</v>
      </c>
      <c r="C8" s="13">
        <f>'[1]Свод '!$J$6/1000</f>
        <v>12873.16800737935</v>
      </c>
      <c r="D8" s="14">
        <f>(C8-C8*10%)*6%</f>
        <v>695.15107239848487</v>
      </c>
      <c r="E8" s="14">
        <f>(C8-C8*10%)*3.5%</f>
        <v>405.50479223244957</v>
      </c>
      <c r="F8" s="14">
        <f>C8*2%</f>
        <v>257.46336014758703</v>
      </c>
      <c r="G8" s="15">
        <f>'[4]Свод '!$L$7</f>
        <v>228920.43150544472</v>
      </c>
      <c r="H8" s="15">
        <f>G8/12</f>
        <v>19076.702625453727</v>
      </c>
      <c r="I8" s="15">
        <f>(G8-G8*10%)*6%</f>
        <v>12361.703301294014</v>
      </c>
      <c r="J8" s="15">
        <f>(G8-G8*10%)*5%</f>
        <v>10301.419417745012</v>
      </c>
      <c r="K8" s="15">
        <f>G8*3%</f>
        <v>6867.6129451633415</v>
      </c>
      <c r="L8" s="15">
        <f>G8+I8+J8+K8+H8</f>
        <v>277527.86979510076</v>
      </c>
      <c r="M8" s="15">
        <f>350*18.5</f>
        <v>6475</v>
      </c>
      <c r="N8" s="157">
        <v>1534</v>
      </c>
      <c r="O8" s="16">
        <f>88.8+1890+1140</f>
        <v>3118.8</v>
      </c>
      <c r="P8" s="16">
        <v>62.5</v>
      </c>
      <c r="Q8" s="16"/>
      <c r="R8" s="17"/>
      <c r="S8" s="18"/>
      <c r="T8" s="19"/>
      <c r="U8" s="19"/>
      <c r="V8" s="20">
        <f>L8+M8+N8+O8+P8+S8+R8+T8+U8+Q8</f>
        <v>288718.16979510075</v>
      </c>
      <c r="W8" s="22">
        <f t="shared" ref="W8:W39" si="0">M8/7</f>
        <v>925</v>
      </c>
      <c r="X8" s="23" t="e">
        <f>#REF!+#REF!+#REF!+#REF!</f>
        <v>#REF!</v>
      </c>
      <c r="Y8" s="21" t="e">
        <f t="shared" ref="Y8:Y39" si="1">V8-X8</f>
        <v>#REF!</v>
      </c>
    </row>
    <row r="9" spans="1:26" s="22" customFormat="1" ht="15.75" customHeight="1" x14ac:dyDescent="0.25">
      <c r="A9" s="24">
        <v>2</v>
      </c>
      <c r="B9" s="12" t="s">
        <v>23</v>
      </c>
      <c r="C9" s="14">
        <f>'[1]Свод '!$J$7/1000</f>
        <v>12013.720855255393</v>
      </c>
      <c r="D9" s="14">
        <f t="shared" ref="D9:D64" si="2">(C9-C9*10%)*6%</f>
        <v>648.7409261837912</v>
      </c>
      <c r="E9" s="14">
        <f t="shared" ref="E9:E64" si="3">(C9-C9*10%)*3.5%</f>
        <v>378.43220694054492</v>
      </c>
      <c r="F9" s="14">
        <f t="shared" ref="F9:F64" si="4">C9*2%</f>
        <v>240.27441710510786</v>
      </c>
      <c r="G9" s="15">
        <f>'[4]Свод '!$L$8</f>
        <v>203068.35730068752</v>
      </c>
      <c r="H9" s="15">
        <f t="shared" ref="H9:H25" si="5">G9/12</f>
        <v>16922.363108390626</v>
      </c>
      <c r="I9" s="15">
        <f t="shared" ref="I9:I64" si="6">(G9-G9*10%)*6%</f>
        <v>10965.691294237125</v>
      </c>
      <c r="J9" s="15">
        <f t="shared" ref="J9:J64" si="7">(G9-G9*10%)*5%</f>
        <v>9138.0760785309376</v>
      </c>
      <c r="K9" s="15">
        <f t="shared" ref="K9:K64" si="8">G9*3%</f>
        <v>6092.0507190206254</v>
      </c>
      <c r="L9" s="15">
        <f t="shared" ref="L9:L64" si="9">G9+I9+J9+K9+H9</f>
        <v>246186.53850086682</v>
      </c>
      <c r="M9" s="25"/>
      <c r="N9" s="26">
        <v>1272</v>
      </c>
      <c r="O9" s="26">
        <f>66.6+22.2+22.2+403</f>
        <v>514</v>
      </c>
      <c r="P9" s="16">
        <v>187.5</v>
      </c>
      <c r="Q9" s="16"/>
      <c r="R9" s="17">
        <f>7600*205/1000</f>
        <v>1558</v>
      </c>
      <c r="S9" s="18"/>
      <c r="T9" s="19"/>
      <c r="U9" s="19"/>
      <c r="V9" s="20">
        <f t="shared" ref="V9:V35" si="10">L9+M9+N9+O9+P9+S9+R9+T9+U9+Q9</f>
        <v>249718.03850086682</v>
      </c>
      <c r="W9" s="22">
        <f t="shared" si="0"/>
        <v>0</v>
      </c>
      <c r="X9" s="23" t="e">
        <f>#REF!+#REF!+#REF!+#REF!</f>
        <v>#REF!</v>
      </c>
      <c r="Y9" s="21" t="e">
        <f t="shared" si="1"/>
        <v>#REF!</v>
      </c>
    </row>
    <row r="10" spans="1:26" s="22" customFormat="1" ht="15.75" customHeight="1" x14ac:dyDescent="0.25">
      <c r="A10" s="27">
        <v>3</v>
      </c>
      <c r="B10" s="12" t="s">
        <v>24</v>
      </c>
      <c r="C10" s="14">
        <v>14856.9</v>
      </c>
      <c r="D10" s="14">
        <f t="shared" si="2"/>
        <v>802.2725999999999</v>
      </c>
      <c r="E10" s="14">
        <f t="shared" si="3"/>
        <v>467.99234999999999</v>
      </c>
      <c r="F10" s="14">
        <f t="shared" si="4"/>
        <v>297.13799999999998</v>
      </c>
      <c r="G10" s="15">
        <f>'[4]Свод '!$L$11</f>
        <v>281170.00270843355</v>
      </c>
      <c r="H10" s="15">
        <f t="shared" si="5"/>
        <v>23430.833559036128</v>
      </c>
      <c r="I10" s="15">
        <f t="shared" si="6"/>
        <v>15183.18014625541</v>
      </c>
      <c r="J10" s="15">
        <f t="shared" si="7"/>
        <v>12652.650121879509</v>
      </c>
      <c r="K10" s="15">
        <f t="shared" si="8"/>
        <v>8435.1000812530056</v>
      </c>
      <c r="L10" s="15">
        <f t="shared" si="9"/>
        <v>340871.76661685761</v>
      </c>
      <c r="M10" s="25">
        <f>600*18.5</f>
        <v>11100</v>
      </c>
      <c r="N10" s="158">
        <v>4384</v>
      </c>
      <c r="O10" s="26">
        <f>44.4+22.2+403</f>
        <v>469.6</v>
      </c>
      <c r="P10" s="16">
        <v>180</v>
      </c>
      <c r="Q10" s="16">
        <v>195</v>
      </c>
      <c r="R10" s="33">
        <f>7500*205/1000</f>
        <v>1537.5</v>
      </c>
      <c r="S10" s="18"/>
      <c r="T10" s="19"/>
      <c r="U10" s="19"/>
      <c r="V10" s="20">
        <f t="shared" si="10"/>
        <v>358737.86661685759</v>
      </c>
      <c r="W10" s="22">
        <f t="shared" si="0"/>
        <v>1585.7142857142858</v>
      </c>
      <c r="X10" s="23" t="e">
        <f>#REF!+#REF!+#REF!+#REF!</f>
        <v>#REF!</v>
      </c>
      <c r="Y10" s="21" t="e">
        <f t="shared" si="1"/>
        <v>#REF!</v>
      </c>
    </row>
    <row r="11" spans="1:26" s="22" customFormat="1" ht="15.75" customHeight="1" x14ac:dyDescent="0.25">
      <c r="A11" s="27">
        <v>4</v>
      </c>
      <c r="B11" s="12" t="s">
        <v>25</v>
      </c>
      <c r="C11" s="14">
        <f>'[1]Свод '!$J$8/1000</f>
        <v>8629.2712720314339</v>
      </c>
      <c r="D11" s="14">
        <f t="shared" si="2"/>
        <v>465.98064868969738</v>
      </c>
      <c r="E11" s="14">
        <f t="shared" si="3"/>
        <v>271.82204506899018</v>
      </c>
      <c r="F11" s="14">
        <f t="shared" si="4"/>
        <v>172.58542544062868</v>
      </c>
      <c r="G11" s="15">
        <f>'[4]Свод '!$L$9</f>
        <v>153186.49682241588</v>
      </c>
      <c r="H11" s="15">
        <f t="shared" si="5"/>
        <v>12765.541401867989</v>
      </c>
      <c r="I11" s="15">
        <f t="shared" si="6"/>
        <v>8272.0708284104585</v>
      </c>
      <c r="J11" s="15">
        <f t="shared" si="7"/>
        <v>6893.3923570087154</v>
      </c>
      <c r="K11" s="15">
        <f t="shared" si="8"/>
        <v>4595.5949046724763</v>
      </c>
      <c r="L11" s="15">
        <f t="shared" si="9"/>
        <v>185713.09631437549</v>
      </c>
      <c r="M11" s="25">
        <f>300*18.5</f>
        <v>5550</v>
      </c>
      <c r="N11" s="26">
        <v>1233</v>
      </c>
      <c r="O11" s="26">
        <v>44.4</v>
      </c>
      <c r="P11" s="16">
        <v>62.5</v>
      </c>
      <c r="Q11" s="16"/>
      <c r="R11" s="17">
        <f>3240*205/1000</f>
        <v>664.2</v>
      </c>
      <c r="S11" s="18"/>
      <c r="T11" s="19"/>
      <c r="U11" s="19"/>
      <c r="V11" s="20">
        <f t="shared" si="10"/>
        <v>193267.1963143755</v>
      </c>
      <c r="W11" s="22">
        <f t="shared" si="0"/>
        <v>792.85714285714289</v>
      </c>
      <c r="X11" s="23" t="e">
        <f>#REF!+#REF!+#REF!+#REF!</f>
        <v>#REF!</v>
      </c>
      <c r="Y11" s="21" t="e">
        <f t="shared" si="1"/>
        <v>#REF!</v>
      </c>
    </row>
    <row r="12" spans="1:26" s="22" customFormat="1" ht="15.75" customHeight="1" x14ac:dyDescent="0.25">
      <c r="A12" s="27">
        <v>5</v>
      </c>
      <c r="B12" s="12" t="s">
        <v>26</v>
      </c>
      <c r="C12" s="14">
        <f>'[1]Свод '!$J$9/1000</f>
        <v>7625.1002980835156</v>
      </c>
      <c r="D12" s="14">
        <f t="shared" si="2"/>
        <v>411.7554160965098</v>
      </c>
      <c r="E12" s="14">
        <f t="shared" si="3"/>
        <v>240.19065938963075</v>
      </c>
      <c r="F12" s="14">
        <f t="shared" si="4"/>
        <v>152.50200596167031</v>
      </c>
      <c r="G12" s="15">
        <f>'[4]Свод '!$L$10</f>
        <v>155844.27364103857</v>
      </c>
      <c r="H12" s="15">
        <f t="shared" si="5"/>
        <v>12987.022803419881</v>
      </c>
      <c r="I12" s="15">
        <f t="shared" si="6"/>
        <v>8415.5907766160835</v>
      </c>
      <c r="J12" s="15">
        <f t="shared" si="7"/>
        <v>7012.9923138467366</v>
      </c>
      <c r="K12" s="15">
        <f t="shared" si="8"/>
        <v>4675.3282092311565</v>
      </c>
      <c r="L12" s="15">
        <f t="shared" si="9"/>
        <v>188935.20774415243</v>
      </c>
      <c r="M12" s="25">
        <f>350*18.5</f>
        <v>6475</v>
      </c>
      <c r="N12" s="26">
        <v>2058</v>
      </c>
      <c r="O12" s="26">
        <f>66.6+22.2+2293</f>
        <v>2381.8000000000002</v>
      </c>
      <c r="P12" s="16">
        <v>88</v>
      </c>
      <c r="Q12" s="16">
        <v>145</v>
      </c>
      <c r="R12" s="17"/>
      <c r="S12" s="18"/>
      <c r="T12" s="19"/>
      <c r="U12" s="19"/>
      <c r="V12" s="20">
        <f t="shared" si="10"/>
        <v>200083.00774415242</v>
      </c>
      <c r="W12" s="22">
        <f t="shared" si="0"/>
        <v>925</v>
      </c>
      <c r="X12" s="23" t="e">
        <f>#REF!+#REF!+#REF!+#REF!</f>
        <v>#REF!</v>
      </c>
      <c r="Y12" s="21" t="e">
        <f t="shared" si="1"/>
        <v>#REF!</v>
      </c>
    </row>
    <row r="13" spans="1:26" s="22" customFormat="1" ht="15.75" customHeight="1" x14ac:dyDescent="0.25">
      <c r="A13" s="27">
        <v>6</v>
      </c>
      <c r="B13" s="12" t="s">
        <v>27</v>
      </c>
      <c r="C13" s="14">
        <f>'[1]Свод '!$J$11/1000</f>
        <v>9385.1176688126852</v>
      </c>
      <c r="D13" s="14">
        <f>(C13-C13*10%)*6%</f>
        <v>506.79635411588492</v>
      </c>
      <c r="E13" s="14">
        <f t="shared" si="3"/>
        <v>295.63120656759958</v>
      </c>
      <c r="F13" s="14">
        <f t="shared" si="4"/>
        <v>187.70235337625371</v>
      </c>
      <c r="G13" s="15">
        <f>'[4]Свод '!$L$12</f>
        <v>185315.61307535946</v>
      </c>
      <c r="H13" s="15">
        <f t="shared" si="5"/>
        <v>15442.967756279955</v>
      </c>
      <c r="I13" s="15">
        <f t="shared" si="6"/>
        <v>10007.04310606941</v>
      </c>
      <c r="J13" s="15">
        <f t="shared" si="7"/>
        <v>8339.2025883911756</v>
      </c>
      <c r="K13" s="15">
        <f t="shared" si="8"/>
        <v>5559.4683922607837</v>
      </c>
      <c r="L13" s="15">
        <f t="shared" si="9"/>
        <v>224664.29491836077</v>
      </c>
      <c r="M13" s="25">
        <f>280*18.5</f>
        <v>5180</v>
      </c>
      <c r="N13" s="26">
        <v>1720</v>
      </c>
      <c r="O13" s="26">
        <v>44.4</v>
      </c>
      <c r="P13" s="16">
        <v>75</v>
      </c>
      <c r="Q13" s="16"/>
      <c r="R13" s="17"/>
      <c r="S13" s="18"/>
      <c r="T13" s="19"/>
      <c r="U13" s="19"/>
      <c r="V13" s="20">
        <f t="shared" si="10"/>
        <v>231683.69491836076</v>
      </c>
      <c r="W13" s="22">
        <f t="shared" si="0"/>
        <v>740</v>
      </c>
      <c r="X13" s="23" t="e">
        <f>#REF!+#REF!+#REF!+#REF!</f>
        <v>#REF!</v>
      </c>
      <c r="Y13" s="21" t="e">
        <f t="shared" si="1"/>
        <v>#REF!</v>
      </c>
    </row>
    <row r="14" spans="1:26" s="22" customFormat="1" ht="15.75" customHeight="1" x14ac:dyDescent="0.25">
      <c r="A14" s="27">
        <v>7</v>
      </c>
      <c r="B14" s="12" t="s">
        <v>28</v>
      </c>
      <c r="C14" s="14">
        <f>'[1]Свод '!$J$12/1000</f>
        <v>7425.1813609999999</v>
      </c>
      <c r="D14" s="14">
        <f t="shared" si="2"/>
        <v>400.95979349399994</v>
      </c>
      <c r="E14" s="14">
        <f t="shared" si="3"/>
        <v>233.8932128715</v>
      </c>
      <c r="F14" s="14">
        <f t="shared" si="4"/>
        <v>148.50362722</v>
      </c>
      <c r="G14" s="15">
        <f>'[4]Свод '!$L$13</f>
        <v>225457.0735108885</v>
      </c>
      <c r="H14" s="15">
        <f t="shared" si="5"/>
        <v>18788.089459240709</v>
      </c>
      <c r="I14" s="15">
        <f t="shared" si="6"/>
        <v>12174.681969587979</v>
      </c>
      <c r="J14" s="15">
        <f t="shared" si="7"/>
        <v>10145.568307989983</v>
      </c>
      <c r="K14" s="15">
        <f t="shared" si="8"/>
        <v>6763.7122053266548</v>
      </c>
      <c r="L14" s="15">
        <f t="shared" si="9"/>
        <v>273329.12545303383</v>
      </c>
      <c r="M14" s="25">
        <f>300*18.5</f>
        <v>5550</v>
      </c>
      <c r="N14" s="26">
        <v>1087</v>
      </c>
      <c r="O14" s="26">
        <f>44.4+750</f>
        <v>794.4</v>
      </c>
      <c r="P14" s="16">
        <v>100</v>
      </c>
      <c r="Q14" s="16"/>
      <c r="R14" s="17"/>
      <c r="S14" s="18"/>
      <c r="T14" s="19"/>
      <c r="U14" s="19"/>
      <c r="V14" s="20">
        <f t="shared" si="10"/>
        <v>280860.52545303386</v>
      </c>
      <c r="W14" s="22">
        <f t="shared" si="0"/>
        <v>792.85714285714289</v>
      </c>
      <c r="X14" s="23" t="e">
        <f>#REF!+#REF!+#REF!+#REF!</f>
        <v>#REF!</v>
      </c>
      <c r="Y14" s="21" t="e">
        <f t="shared" si="1"/>
        <v>#REF!</v>
      </c>
    </row>
    <row r="15" spans="1:26" s="22" customFormat="1" ht="15.75" customHeight="1" x14ac:dyDescent="0.25">
      <c r="A15" s="11">
        <v>8</v>
      </c>
      <c r="B15" s="12" t="s">
        <v>29</v>
      </c>
      <c r="C15" s="14">
        <f>'[1]Свод '!$J$13/1000</f>
        <v>13746.1794028856</v>
      </c>
      <c r="D15" s="14">
        <f t="shared" si="2"/>
        <v>742.29368775582248</v>
      </c>
      <c r="E15" s="14">
        <f t="shared" si="3"/>
        <v>433.00465119089648</v>
      </c>
      <c r="F15" s="14">
        <f t="shared" si="4"/>
        <v>274.92358805771204</v>
      </c>
      <c r="G15" s="15">
        <f>'[4]Свод '!$L$15</f>
        <v>242405.48246276629</v>
      </c>
      <c r="H15" s="15">
        <f t="shared" si="5"/>
        <v>20200.45687189719</v>
      </c>
      <c r="I15" s="15">
        <f t="shared" si="6"/>
        <v>13089.896052989379</v>
      </c>
      <c r="J15" s="15">
        <f t="shared" si="7"/>
        <v>10908.246710824484</v>
      </c>
      <c r="K15" s="15">
        <f t="shared" si="8"/>
        <v>7272.1644738829882</v>
      </c>
      <c r="L15" s="15">
        <f t="shared" si="9"/>
        <v>293876.24657236034</v>
      </c>
      <c r="M15" s="25">
        <f>805*18.5</f>
        <v>14892.5</v>
      </c>
      <c r="N15" s="158">
        <v>4403</v>
      </c>
      <c r="O15" s="26">
        <f>66.6+403</f>
        <v>469.6</v>
      </c>
      <c r="P15" s="16"/>
      <c r="Q15" s="16"/>
      <c r="R15" s="28">
        <f>9540*295/1000</f>
        <v>2814.3</v>
      </c>
      <c r="S15" s="18"/>
      <c r="T15" s="19"/>
      <c r="U15" s="19"/>
      <c r="V15" s="20">
        <f t="shared" si="10"/>
        <v>316455.6465723603</v>
      </c>
      <c r="W15" s="22">
        <f t="shared" si="0"/>
        <v>2127.5</v>
      </c>
      <c r="X15" s="23" t="e">
        <f>#REF!+#REF!+#REF!+#REF!</f>
        <v>#REF!</v>
      </c>
      <c r="Y15" s="21" t="e">
        <f t="shared" si="1"/>
        <v>#REF!</v>
      </c>
      <c r="Z15" s="22" t="s">
        <v>86</v>
      </c>
    </row>
    <row r="16" spans="1:26" s="22" customFormat="1" ht="15.75" customHeight="1" x14ac:dyDescent="0.25">
      <c r="A16" s="24">
        <v>9</v>
      </c>
      <c r="B16" s="12" t="s">
        <v>30</v>
      </c>
      <c r="C16" s="14">
        <f>'[1]Свод '!$J$15/1000</f>
        <v>7837.6380911145825</v>
      </c>
      <c r="D16" s="14">
        <f t="shared" si="2"/>
        <v>423.23245692018742</v>
      </c>
      <c r="E16" s="14">
        <f t="shared" si="3"/>
        <v>246.88559987010936</v>
      </c>
      <c r="F16" s="14">
        <f t="shared" si="4"/>
        <v>156.75276182229166</v>
      </c>
      <c r="G16" s="15">
        <f>'[4]Свод '!$L$17</f>
        <v>148551.03624515273</v>
      </c>
      <c r="H16" s="15">
        <f t="shared" si="5"/>
        <v>12379.253020429394</v>
      </c>
      <c r="I16" s="15">
        <f t="shared" si="6"/>
        <v>8021.7559572382479</v>
      </c>
      <c r="J16" s="15">
        <f t="shared" si="7"/>
        <v>6684.7966310318734</v>
      </c>
      <c r="K16" s="15">
        <f t="shared" si="8"/>
        <v>4456.5310873545814</v>
      </c>
      <c r="L16" s="15">
        <f t="shared" si="9"/>
        <v>180093.37294120685</v>
      </c>
      <c r="M16" s="25">
        <f>260*18.5</f>
        <v>4810</v>
      </c>
      <c r="N16" s="26">
        <v>1556</v>
      </c>
      <c r="O16" s="26">
        <f>66.6+5896</f>
        <v>5962.6</v>
      </c>
      <c r="P16" s="16">
        <v>88</v>
      </c>
      <c r="Q16" s="16"/>
      <c r="R16" s="17">
        <f>14180*205/1000</f>
        <v>2906.9</v>
      </c>
      <c r="S16" s="18"/>
      <c r="T16" s="19"/>
      <c r="U16" s="19"/>
      <c r="V16" s="20">
        <f t="shared" si="10"/>
        <v>195416.87294120685</v>
      </c>
      <c r="W16" s="22">
        <f t="shared" si="0"/>
        <v>687.14285714285711</v>
      </c>
      <c r="X16" s="23" t="e">
        <f>#REF!+#REF!+#REF!+#REF!</f>
        <v>#REF!</v>
      </c>
      <c r="Y16" s="21" t="e">
        <f t="shared" si="1"/>
        <v>#REF!</v>
      </c>
    </row>
    <row r="17" spans="1:31" s="22" customFormat="1" ht="15.75" customHeight="1" x14ac:dyDescent="0.25">
      <c r="A17" s="27">
        <v>10</v>
      </c>
      <c r="B17" s="12" t="s">
        <v>31</v>
      </c>
      <c r="C17" s="14">
        <v>15765</v>
      </c>
      <c r="D17" s="14">
        <f t="shared" si="2"/>
        <v>851.31</v>
      </c>
      <c r="E17" s="14">
        <f t="shared" si="3"/>
        <v>496.59750000000003</v>
      </c>
      <c r="F17" s="14">
        <f t="shared" si="4"/>
        <v>315.3</v>
      </c>
      <c r="G17" s="15">
        <f>'[4]Свод '!$L$16</f>
        <v>228954.29789268749</v>
      </c>
      <c r="H17" s="15">
        <f t="shared" si="5"/>
        <v>19079.524824390624</v>
      </c>
      <c r="I17" s="15">
        <f t="shared" si="6"/>
        <v>12363.532086205123</v>
      </c>
      <c r="J17" s="15">
        <f t="shared" si="7"/>
        <v>10302.943405170938</v>
      </c>
      <c r="K17" s="15">
        <f t="shared" si="8"/>
        <v>6868.6289367806248</v>
      </c>
      <c r="L17" s="15">
        <f t="shared" si="9"/>
        <v>277568.92714523477</v>
      </c>
      <c r="M17" s="25">
        <f>300*18.5</f>
        <v>5550</v>
      </c>
      <c r="N17" s="26">
        <v>2961</v>
      </c>
      <c r="O17" s="26">
        <f>66.6+1410</f>
        <v>1476.6</v>
      </c>
      <c r="P17" s="16">
        <v>100</v>
      </c>
      <c r="Q17" s="16">
        <v>168</v>
      </c>
      <c r="R17" s="34">
        <f>1890.1+1091.5</f>
        <v>2981.6</v>
      </c>
      <c r="S17" s="18"/>
      <c r="T17" s="19"/>
      <c r="U17" s="19"/>
      <c r="V17" s="20">
        <f t="shared" si="10"/>
        <v>290806.12714523473</v>
      </c>
      <c r="W17" s="22">
        <f t="shared" si="0"/>
        <v>792.85714285714289</v>
      </c>
      <c r="X17" s="23" t="e">
        <f>#REF!+#REF!+#REF!+#REF!</f>
        <v>#REF!</v>
      </c>
      <c r="Y17" s="21" t="e">
        <f t="shared" si="1"/>
        <v>#REF!</v>
      </c>
      <c r="Z17" s="22">
        <v>6420</v>
      </c>
      <c r="AA17" s="22">
        <v>2800</v>
      </c>
      <c r="AB17" s="22" t="s">
        <v>87</v>
      </c>
      <c r="AD17" s="22">
        <f>6420+2800</f>
        <v>9220</v>
      </c>
      <c r="AE17" s="22">
        <f>AD17*205/1000</f>
        <v>1890.1</v>
      </c>
    </row>
    <row r="18" spans="1:31" s="22" customFormat="1" ht="15.75" customHeight="1" x14ac:dyDescent="0.25">
      <c r="A18" s="27">
        <v>11</v>
      </c>
      <c r="B18" s="12" t="s">
        <v>32</v>
      </c>
      <c r="C18" s="14">
        <v>29225.200000000001</v>
      </c>
      <c r="D18" s="14">
        <f t="shared" si="2"/>
        <v>1578.1607999999999</v>
      </c>
      <c r="E18" s="14">
        <f t="shared" si="3"/>
        <v>920.5938000000001</v>
      </c>
      <c r="F18" s="14">
        <f t="shared" si="4"/>
        <v>584.50400000000002</v>
      </c>
      <c r="G18" s="15">
        <f>'[4]Свод '!$L$18</f>
        <v>477251.92727896868</v>
      </c>
      <c r="H18" s="15">
        <f t="shared" si="5"/>
        <v>39770.993939914057</v>
      </c>
      <c r="I18" s="15">
        <f t="shared" si="6"/>
        <v>25771.604073064307</v>
      </c>
      <c r="J18" s="15">
        <f t="shared" si="7"/>
        <v>21476.336727553593</v>
      </c>
      <c r="K18" s="15">
        <f t="shared" si="8"/>
        <v>14317.55781836906</v>
      </c>
      <c r="L18" s="15">
        <f t="shared" si="9"/>
        <v>578588.41983786959</v>
      </c>
      <c r="M18" s="25">
        <v>8971.5</v>
      </c>
      <c r="N18" s="159">
        <v>3470</v>
      </c>
      <c r="O18" s="26">
        <f>111+3737</f>
        <v>3848</v>
      </c>
      <c r="P18" s="16">
        <v>870</v>
      </c>
      <c r="Q18" s="16">
        <v>270</v>
      </c>
      <c r="R18" s="17"/>
      <c r="S18" s="18"/>
      <c r="T18" s="19"/>
      <c r="U18" s="19"/>
      <c r="V18" s="20">
        <f t="shared" si="10"/>
        <v>596017.91983786959</v>
      </c>
      <c r="W18" s="22">
        <f t="shared" si="0"/>
        <v>1281.6428571428571</v>
      </c>
      <c r="X18" s="23" t="e">
        <f>#REF!+#REF!+#REF!+#REF!</f>
        <v>#REF!</v>
      </c>
      <c r="Y18" s="21" t="e">
        <f t="shared" si="1"/>
        <v>#REF!</v>
      </c>
      <c r="AB18" s="22">
        <f>3700*295/1000</f>
        <v>1091.5</v>
      </c>
    </row>
    <row r="19" spans="1:31" s="22" customFormat="1" ht="36.75" customHeight="1" x14ac:dyDescent="0.25">
      <c r="A19" s="27">
        <v>12</v>
      </c>
      <c r="B19" s="59" t="s">
        <v>33</v>
      </c>
      <c r="C19" s="14">
        <f>'[1]Свод '!$J$17/1000</f>
        <v>15896.303081448099</v>
      </c>
      <c r="D19" s="14">
        <f t="shared" si="2"/>
        <v>858.40036639819732</v>
      </c>
      <c r="E19" s="14">
        <f t="shared" si="3"/>
        <v>500.7335470656152</v>
      </c>
      <c r="F19" s="14">
        <f t="shared" si="4"/>
        <v>317.92606162896197</v>
      </c>
      <c r="G19" s="29">
        <f>'[4]Свод '!$L$19</f>
        <v>322235.67157596117</v>
      </c>
      <c r="H19" s="15">
        <f t="shared" si="5"/>
        <v>26852.972631330096</v>
      </c>
      <c r="I19" s="15">
        <f t="shared" si="6"/>
        <v>17400.726265101901</v>
      </c>
      <c r="J19" s="15">
        <f t="shared" si="7"/>
        <v>14500.605220918253</v>
      </c>
      <c r="K19" s="15">
        <f t="shared" si="8"/>
        <v>9667.0701472788351</v>
      </c>
      <c r="L19" s="15">
        <f t="shared" si="9"/>
        <v>390657.04584059026</v>
      </c>
      <c r="M19" s="20">
        <v>13213.6</v>
      </c>
      <c r="N19" s="31">
        <v>4218</v>
      </c>
      <c r="O19" s="31">
        <f>111+7011</f>
        <v>7122</v>
      </c>
      <c r="P19" s="32">
        <v>640</v>
      </c>
      <c r="Q19" s="32">
        <v>290</v>
      </c>
      <c r="R19" s="60">
        <f>22800*205/1000</f>
        <v>4674</v>
      </c>
      <c r="S19" s="61"/>
      <c r="T19" s="62"/>
      <c r="U19" s="62"/>
      <c r="V19" s="20">
        <f>L19+M19+N19+O19+P19+S19+R19+T19+U19+Q19</f>
        <v>420814.64584059024</v>
      </c>
      <c r="W19" s="22">
        <f t="shared" si="0"/>
        <v>1887.6571428571428</v>
      </c>
      <c r="X19" s="23" t="e">
        <f>#REF!+#REF!+#REF!+#REF!</f>
        <v>#REF!</v>
      </c>
      <c r="Y19" s="21" t="e">
        <f t="shared" si="1"/>
        <v>#REF!</v>
      </c>
    </row>
    <row r="20" spans="1:31" s="22" customFormat="1" ht="15.75" customHeight="1" x14ac:dyDescent="0.25">
      <c r="A20" s="27">
        <v>13</v>
      </c>
      <c r="B20" s="12" t="s">
        <v>34</v>
      </c>
      <c r="C20" s="14">
        <v>11082.2</v>
      </c>
      <c r="D20" s="14">
        <f t="shared" si="2"/>
        <v>598.43880000000001</v>
      </c>
      <c r="E20" s="14">
        <f t="shared" si="3"/>
        <v>349.08930000000009</v>
      </c>
      <c r="F20" s="14">
        <f t="shared" si="4"/>
        <v>221.64400000000001</v>
      </c>
      <c r="G20" s="15">
        <f>'[4]Свод '!$L$20</f>
        <v>214849.03782112509</v>
      </c>
      <c r="H20" s="15">
        <f t="shared" si="5"/>
        <v>17904.086485093758</v>
      </c>
      <c r="I20" s="15">
        <f t="shared" si="6"/>
        <v>11601.848042340756</v>
      </c>
      <c r="J20" s="15">
        <f t="shared" si="7"/>
        <v>9668.2067019506303</v>
      </c>
      <c r="K20" s="15">
        <f t="shared" si="8"/>
        <v>6445.4711346337526</v>
      </c>
      <c r="L20" s="15">
        <f t="shared" si="9"/>
        <v>260468.65018514398</v>
      </c>
      <c r="M20" s="25">
        <v>9479.6</v>
      </c>
      <c r="N20" s="158">
        <v>1954</v>
      </c>
      <c r="O20" s="26">
        <f>88.8+2293</f>
        <v>2381.8000000000002</v>
      </c>
      <c r="P20" s="16">
        <v>350</v>
      </c>
      <c r="Q20" s="16">
        <v>250</v>
      </c>
      <c r="R20" s="17"/>
      <c r="S20" s="18"/>
      <c r="T20" s="19"/>
      <c r="U20" s="19"/>
      <c r="V20" s="20">
        <f t="shared" si="10"/>
        <v>274884.05018514395</v>
      </c>
      <c r="W20" s="22">
        <f t="shared" si="0"/>
        <v>1354.2285714285715</v>
      </c>
      <c r="X20" s="23" t="e">
        <f>#REF!+#REF!+#REF!+#REF!</f>
        <v>#REF!</v>
      </c>
      <c r="Y20" s="21" t="e">
        <f t="shared" si="1"/>
        <v>#REF!</v>
      </c>
    </row>
    <row r="21" spans="1:31" s="22" customFormat="1" ht="15.75" x14ac:dyDescent="0.25">
      <c r="A21" s="27">
        <v>14</v>
      </c>
      <c r="B21" s="12" t="s">
        <v>35</v>
      </c>
      <c r="C21" s="30">
        <f>'[1]Свод '!$J$20/1000</f>
        <v>5306.275801244974</v>
      </c>
      <c r="D21" s="30">
        <f t="shared" si="2"/>
        <v>286.53889326722856</v>
      </c>
      <c r="E21" s="30">
        <f t="shared" si="3"/>
        <v>167.14768773921671</v>
      </c>
      <c r="F21" s="30">
        <f t="shared" si="4"/>
        <v>106.12551602489948</v>
      </c>
      <c r="G21" s="15">
        <f>'[4]Свод '!$L$22</f>
        <v>128410.13498407591</v>
      </c>
      <c r="H21" s="15">
        <f t="shared" si="5"/>
        <v>10700.844582006326</v>
      </c>
      <c r="I21" s="15">
        <f t="shared" si="6"/>
        <v>6934.147289140099</v>
      </c>
      <c r="J21" s="15">
        <f t="shared" si="7"/>
        <v>5778.4560742834165</v>
      </c>
      <c r="K21" s="15">
        <f t="shared" si="8"/>
        <v>3852.3040495222772</v>
      </c>
      <c r="L21" s="15">
        <f t="shared" si="9"/>
        <v>155675.88697902803</v>
      </c>
      <c r="M21" s="20">
        <f>200*18.5</f>
        <v>3700</v>
      </c>
      <c r="N21" s="31">
        <v>1405</v>
      </c>
      <c r="O21" s="31">
        <v>44.4</v>
      </c>
      <c r="P21" s="32">
        <v>150</v>
      </c>
      <c r="Q21" s="32"/>
      <c r="R21" s="17"/>
      <c r="S21" s="18"/>
      <c r="T21" s="19"/>
      <c r="U21" s="19"/>
      <c r="V21" s="20">
        <f t="shared" si="10"/>
        <v>160975.28697902802</v>
      </c>
      <c r="W21" s="22">
        <f t="shared" si="0"/>
        <v>528.57142857142856</v>
      </c>
      <c r="X21" s="23" t="e">
        <f>#REF!+#REF!+#REF!+#REF!</f>
        <v>#REF!</v>
      </c>
      <c r="Y21" s="21" t="e">
        <f t="shared" si="1"/>
        <v>#REF!</v>
      </c>
    </row>
    <row r="22" spans="1:31" s="22" customFormat="1" ht="15.75" customHeight="1" x14ac:dyDescent="0.25">
      <c r="A22" s="11">
        <v>15</v>
      </c>
      <c r="B22" s="12" t="s">
        <v>36</v>
      </c>
      <c r="C22" s="14">
        <f>'[1]Свод '!$J$19/1000</f>
        <v>7732.1278151980987</v>
      </c>
      <c r="D22" s="14">
        <f t="shared" si="2"/>
        <v>417.5349020206973</v>
      </c>
      <c r="E22" s="14">
        <f t="shared" si="3"/>
        <v>243.56202617874013</v>
      </c>
      <c r="F22" s="14">
        <f t="shared" si="4"/>
        <v>154.64255630396198</v>
      </c>
      <c r="G22" s="15">
        <f>'[4]Свод '!$L$21</f>
        <v>154655.75134870756</v>
      </c>
      <c r="H22" s="15">
        <f t="shared" si="5"/>
        <v>12887.979279058964</v>
      </c>
      <c r="I22" s="15">
        <f t="shared" si="6"/>
        <v>8351.4105728302093</v>
      </c>
      <c r="J22" s="15">
        <f t="shared" si="7"/>
        <v>6959.5088106918411</v>
      </c>
      <c r="K22" s="15">
        <f t="shared" si="8"/>
        <v>4639.6725404612271</v>
      </c>
      <c r="L22" s="15">
        <f t="shared" si="9"/>
        <v>187494.32255174979</v>
      </c>
      <c r="M22" s="25">
        <f>300*18.5</f>
        <v>5550</v>
      </c>
      <c r="N22" s="159">
        <v>2843</v>
      </c>
      <c r="O22" s="26">
        <v>88.8</v>
      </c>
      <c r="P22" s="32">
        <v>125</v>
      </c>
      <c r="Q22" s="32"/>
      <c r="R22" s="33">
        <f>2140*205/1000</f>
        <v>438.7</v>
      </c>
      <c r="S22" s="18"/>
      <c r="T22" s="19"/>
      <c r="U22" s="19"/>
      <c r="V22" s="20">
        <f t="shared" si="10"/>
        <v>196539.82255174979</v>
      </c>
      <c r="W22" s="22">
        <f t="shared" si="0"/>
        <v>792.85714285714289</v>
      </c>
      <c r="X22" s="23" t="e">
        <f>#REF!+#REF!+#REF!+#REF!</f>
        <v>#REF!</v>
      </c>
      <c r="Y22" s="21" t="e">
        <f t="shared" si="1"/>
        <v>#REF!</v>
      </c>
    </row>
    <row r="23" spans="1:31" s="22" customFormat="1" ht="15.75" customHeight="1" x14ac:dyDescent="0.25">
      <c r="A23" s="24">
        <v>16</v>
      </c>
      <c r="B23" s="12" t="s">
        <v>37</v>
      </c>
      <c r="C23" s="14">
        <f>'[1]Свод '!$J$23/1000</f>
        <v>14444.194371994976</v>
      </c>
      <c r="D23" s="14">
        <f t="shared" si="2"/>
        <v>779.9864960877286</v>
      </c>
      <c r="E23" s="14">
        <f t="shared" si="3"/>
        <v>454.99212271784177</v>
      </c>
      <c r="F23" s="14">
        <f t="shared" si="4"/>
        <v>288.88388743989952</v>
      </c>
      <c r="G23" s="15">
        <f>'[4]Свод '!$L$25</f>
        <v>272910.97493566328</v>
      </c>
      <c r="H23" s="15">
        <f t="shared" si="5"/>
        <v>22742.581244638608</v>
      </c>
      <c r="I23" s="15">
        <f t="shared" si="6"/>
        <v>14737.192646525817</v>
      </c>
      <c r="J23" s="15">
        <f t="shared" si="7"/>
        <v>12280.993872104847</v>
      </c>
      <c r="K23" s="15">
        <f t="shared" si="8"/>
        <v>8187.3292480698983</v>
      </c>
      <c r="L23" s="15">
        <f t="shared" si="9"/>
        <v>330859.07194700243</v>
      </c>
      <c r="M23" s="25">
        <f>500*18.5</f>
        <v>9250</v>
      </c>
      <c r="N23" s="26">
        <v>2799</v>
      </c>
      <c r="O23" s="26">
        <f>66.6+22.2+283</f>
        <v>371.8</v>
      </c>
      <c r="P23" s="32">
        <v>100</v>
      </c>
      <c r="Q23" s="32"/>
      <c r="R23" s="33">
        <f>7550*295/1000</f>
        <v>2227.25</v>
      </c>
      <c r="S23" s="18"/>
      <c r="T23" s="19"/>
      <c r="U23" s="19"/>
      <c r="V23" s="20">
        <f t="shared" si="10"/>
        <v>345607.12194700242</v>
      </c>
      <c r="W23" s="22">
        <f t="shared" si="0"/>
        <v>1321.4285714285713</v>
      </c>
      <c r="X23" s="23" t="e">
        <f>#REF!+#REF!+#REF!+#REF!</f>
        <v>#REF!</v>
      </c>
      <c r="Y23" s="21" t="e">
        <f t="shared" si="1"/>
        <v>#REF!</v>
      </c>
    </row>
    <row r="24" spans="1:31" s="22" customFormat="1" ht="15.75" customHeight="1" x14ac:dyDescent="0.25">
      <c r="A24" s="27">
        <v>17</v>
      </c>
      <c r="B24" s="12" t="s">
        <v>38</v>
      </c>
      <c r="C24" s="14">
        <f>'[1]Свод '!$J$21/1000</f>
        <v>7141.3797636512872</v>
      </c>
      <c r="D24" s="14">
        <f t="shared" si="2"/>
        <v>385.63450723716949</v>
      </c>
      <c r="E24" s="14">
        <f t="shared" si="3"/>
        <v>224.95346255501559</v>
      </c>
      <c r="F24" s="14">
        <f t="shared" si="4"/>
        <v>142.82759527302574</v>
      </c>
      <c r="G24" s="15">
        <f>'[4]Свод '!$L$23</f>
        <v>121895.1868598625</v>
      </c>
      <c r="H24" s="15">
        <f t="shared" si="5"/>
        <v>10157.932238321875</v>
      </c>
      <c r="I24" s="15">
        <f t="shared" si="6"/>
        <v>6582.3400904325745</v>
      </c>
      <c r="J24" s="15">
        <f t="shared" si="7"/>
        <v>5485.2834086938128</v>
      </c>
      <c r="K24" s="15">
        <f t="shared" si="8"/>
        <v>3656.8556057958749</v>
      </c>
      <c r="L24" s="15">
        <f t="shared" si="9"/>
        <v>147777.59820310661</v>
      </c>
      <c r="M24" s="25">
        <f>270*18.5</f>
        <v>4995</v>
      </c>
      <c r="N24" s="26">
        <v>1502</v>
      </c>
      <c r="O24" s="26">
        <v>88.8</v>
      </c>
      <c r="P24" s="32">
        <v>100</v>
      </c>
      <c r="Q24" s="32"/>
      <c r="R24" s="17"/>
      <c r="S24" s="18"/>
      <c r="T24" s="19"/>
      <c r="U24" s="19"/>
      <c r="V24" s="20">
        <f t="shared" si="10"/>
        <v>154463.3982031066</v>
      </c>
      <c r="W24" s="22">
        <f t="shared" si="0"/>
        <v>713.57142857142856</v>
      </c>
      <c r="X24" s="23" t="e">
        <f>#REF!+#REF!+#REF!+#REF!</f>
        <v>#REF!</v>
      </c>
      <c r="Y24" s="21" t="e">
        <f t="shared" si="1"/>
        <v>#REF!</v>
      </c>
    </row>
    <row r="25" spans="1:31" s="22" customFormat="1" ht="15.75" customHeight="1" x14ac:dyDescent="0.25">
      <c r="A25" s="27">
        <v>18</v>
      </c>
      <c r="B25" s="12" t="s">
        <v>39</v>
      </c>
      <c r="C25" s="14">
        <f>'[1]Свод '!$J$22/1000</f>
        <v>6462.7369432606001</v>
      </c>
      <c r="D25" s="14">
        <f t="shared" si="2"/>
        <v>348.98779493607242</v>
      </c>
      <c r="E25" s="14">
        <f t="shared" si="3"/>
        <v>203.57621371270892</v>
      </c>
      <c r="F25" s="14">
        <f t="shared" si="4"/>
        <v>129.254738865212</v>
      </c>
      <c r="G25" s="15">
        <f>'[4]Свод '!$L$24</f>
        <v>137551.92617614073</v>
      </c>
      <c r="H25" s="15">
        <f t="shared" si="5"/>
        <v>11462.660514678393</v>
      </c>
      <c r="I25" s="15">
        <f t="shared" si="6"/>
        <v>7427.8040135115989</v>
      </c>
      <c r="J25" s="15">
        <f t="shared" si="7"/>
        <v>6189.8366779263333</v>
      </c>
      <c r="K25" s="15">
        <f t="shared" si="8"/>
        <v>4126.5577852842216</v>
      </c>
      <c r="L25" s="15">
        <f t="shared" si="9"/>
        <v>166758.78516754127</v>
      </c>
      <c r="M25" s="25">
        <f>180*18.5</f>
        <v>3330</v>
      </c>
      <c r="N25" s="26">
        <v>1375</v>
      </c>
      <c r="O25" s="26">
        <v>44.4</v>
      </c>
      <c r="P25" s="32">
        <v>100</v>
      </c>
      <c r="Q25" s="32"/>
      <c r="R25" s="17"/>
      <c r="S25" s="18"/>
      <c r="T25" s="19"/>
      <c r="U25" s="19"/>
      <c r="V25" s="20">
        <f t="shared" si="10"/>
        <v>171608.18516754126</v>
      </c>
      <c r="W25" s="22">
        <f t="shared" si="0"/>
        <v>475.71428571428572</v>
      </c>
      <c r="X25" s="23" t="e">
        <f>#REF!+#REF!+#REF!+#REF!</f>
        <v>#REF!</v>
      </c>
      <c r="Y25" s="21" t="e">
        <f t="shared" si="1"/>
        <v>#REF!</v>
      </c>
    </row>
    <row r="26" spans="1:31" s="22" customFormat="1" ht="15.75" customHeight="1" x14ac:dyDescent="0.25">
      <c r="A26" s="27">
        <v>19</v>
      </c>
      <c r="B26" s="12" t="s">
        <v>40</v>
      </c>
      <c r="C26" s="14">
        <f>'[1]Свод '!$J$24/1000</f>
        <v>9823.1824827918481</v>
      </c>
      <c r="D26" s="14">
        <f t="shared" si="2"/>
        <v>530.45185407075974</v>
      </c>
      <c r="E26" s="14">
        <f t="shared" si="3"/>
        <v>309.43024820794324</v>
      </c>
      <c r="F26" s="14">
        <f t="shared" si="4"/>
        <v>196.46364965583697</v>
      </c>
      <c r="G26" s="15">
        <f>'[4]Свод '!$L$26</f>
        <v>160819.5063552036</v>
      </c>
      <c r="H26" s="15">
        <f t="shared" ref="H9:H64" si="11">G26/12</f>
        <v>13401.6255296003</v>
      </c>
      <c r="I26" s="15">
        <f t="shared" si="6"/>
        <v>8684.2533431809934</v>
      </c>
      <c r="J26" s="15">
        <f t="shared" si="7"/>
        <v>7236.8777859841621</v>
      </c>
      <c r="K26" s="15">
        <f t="shared" si="8"/>
        <v>4824.5851906561074</v>
      </c>
      <c r="L26" s="15">
        <f t="shared" si="9"/>
        <v>194966.84820462516</v>
      </c>
      <c r="M26" s="25">
        <f>200*18.5</f>
        <v>3700</v>
      </c>
      <c r="N26" s="26">
        <v>1395</v>
      </c>
      <c r="O26" s="26">
        <f>66.6+1063</f>
        <v>1129.5999999999999</v>
      </c>
      <c r="P26" s="32">
        <v>75</v>
      </c>
      <c r="Q26" s="32"/>
      <c r="R26" s="17"/>
      <c r="S26" s="18"/>
      <c r="T26" s="19"/>
      <c r="U26" s="19"/>
      <c r="V26" s="20">
        <f t="shared" si="10"/>
        <v>201266.44820462517</v>
      </c>
      <c r="W26" s="22">
        <f t="shared" si="0"/>
        <v>528.57142857142856</v>
      </c>
      <c r="X26" s="23" t="e">
        <f>#REF!+#REF!+#REF!+#REF!</f>
        <v>#REF!</v>
      </c>
      <c r="Y26" s="21" t="e">
        <f t="shared" si="1"/>
        <v>#REF!</v>
      </c>
    </row>
    <row r="27" spans="1:31" s="22" customFormat="1" ht="15.75" customHeight="1" x14ac:dyDescent="0.25">
      <c r="A27" s="27">
        <v>20</v>
      </c>
      <c r="B27" s="12" t="s">
        <v>41</v>
      </c>
      <c r="C27" s="14">
        <f>'[1]Свод '!$J$26/1000</f>
        <v>4381.3013616408089</v>
      </c>
      <c r="D27" s="14">
        <f t="shared" si="2"/>
        <v>236.59027352860369</v>
      </c>
      <c r="E27" s="14">
        <f t="shared" si="3"/>
        <v>138.0109928916855</v>
      </c>
      <c r="F27" s="14">
        <f t="shared" si="4"/>
        <v>87.626027232816185</v>
      </c>
      <c r="G27" s="15">
        <f>'[4]Свод '!$L$46</f>
        <v>86279.690402353328</v>
      </c>
      <c r="H27" s="15">
        <f t="shared" si="11"/>
        <v>7189.9742001961104</v>
      </c>
      <c r="I27" s="15">
        <f t="shared" si="6"/>
        <v>4659.1032817270798</v>
      </c>
      <c r="J27" s="15">
        <f t="shared" si="7"/>
        <v>3882.5860681059003</v>
      </c>
      <c r="K27" s="15">
        <f t="shared" si="8"/>
        <v>2588.3907120705999</v>
      </c>
      <c r="L27" s="15">
        <f t="shared" si="9"/>
        <v>104599.74466445301</v>
      </c>
      <c r="M27" s="25">
        <f>[3]Лист2!$AC$25</f>
        <v>3306.32</v>
      </c>
      <c r="N27" s="26">
        <v>1547</v>
      </c>
      <c r="O27" s="26">
        <f>44.4+420</f>
        <v>464.4</v>
      </c>
      <c r="P27" s="32">
        <v>150</v>
      </c>
      <c r="Q27" s="32"/>
      <c r="R27" s="17"/>
      <c r="S27" s="18"/>
      <c r="T27" s="19"/>
      <c r="U27" s="19"/>
      <c r="V27" s="20">
        <f t="shared" si="10"/>
        <v>110067.46466445301</v>
      </c>
      <c r="W27" s="22">
        <f t="shared" si="0"/>
        <v>472.3314285714286</v>
      </c>
      <c r="X27" s="23" t="e">
        <f>#REF!+#REF!+#REF!+#REF!</f>
        <v>#REF!</v>
      </c>
      <c r="Y27" s="21" t="e">
        <f t="shared" si="1"/>
        <v>#REF!</v>
      </c>
    </row>
    <row r="28" spans="1:31" s="22" customFormat="1" ht="15.75" customHeight="1" x14ac:dyDescent="0.25">
      <c r="A28" s="27">
        <v>21</v>
      </c>
      <c r="B28" s="12" t="s">
        <v>42</v>
      </c>
      <c r="C28" s="14">
        <f>'[1]Свод '!$J$25/1000</f>
        <v>6848.2695907918487</v>
      </c>
      <c r="D28" s="14">
        <f t="shared" si="2"/>
        <v>369.80655790275978</v>
      </c>
      <c r="E28" s="14">
        <f t="shared" si="3"/>
        <v>215.72049210994325</v>
      </c>
      <c r="F28" s="14">
        <f t="shared" si="4"/>
        <v>136.96539181583697</v>
      </c>
      <c r="G28" s="15">
        <f>'[4]Свод '!$L$27</f>
        <v>125827.73342974798</v>
      </c>
      <c r="H28" s="15">
        <f t="shared" si="11"/>
        <v>10485.644452478999</v>
      </c>
      <c r="I28" s="15">
        <f t="shared" si="6"/>
        <v>6794.6976052063901</v>
      </c>
      <c r="J28" s="15">
        <f t="shared" si="7"/>
        <v>5662.2480043386595</v>
      </c>
      <c r="K28" s="15">
        <f t="shared" si="8"/>
        <v>3774.8320028924395</v>
      </c>
      <c r="L28" s="15">
        <f t="shared" si="9"/>
        <v>152545.15549466448</v>
      </c>
      <c r="M28" s="25">
        <f>[3]Лист2!$AC$26</f>
        <v>3253.04</v>
      </c>
      <c r="N28" s="26">
        <v>1049</v>
      </c>
      <c r="O28" s="26">
        <f>44.4+420</f>
        <v>464.4</v>
      </c>
      <c r="P28" s="32">
        <v>62.5</v>
      </c>
      <c r="Q28" s="32"/>
      <c r="R28" s="17"/>
      <c r="S28" s="18"/>
      <c r="T28" s="19"/>
      <c r="U28" s="19"/>
      <c r="V28" s="20">
        <f t="shared" si="10"/>
        <v>157374.09549466448</v>
      </c>
      <c r="W28" s="22">
        <f t="shared" si="0"/>
        <v>464.71999999999997</v>
      </c>
      <c r="X28" s="23" t="e">
        <f>#REF!+#REF!+#REF!+#REF!</f>
        <v>#REF!</v>
      </c>
      <c r="Y28" s="21" t="e">
        <f t="shared" si="1"/>
        <v>#REF!</v>
      </c>
    </row>
    <row r="29" spans="1:31" s="22" customFormat="1" ht="15.75" customHeight="1" x14ac:dyDescent="0.25">
      <c r="A29" s="11">
        <v>22</v>
      </c>
      <c r="B29" s="12" t="s">
        <v>43</v>
      </c>
      <c r="C29" s="14">
        <f>'[1]Свод '!$J$31/1000</f>
        <v>7591.4033973699752</v>
      </c>
      <c r="D29" s="14">
        <f t="shared" si="2"/>
        <v>409.93578345797863</v>
      </c>
      <c r="E29" s="14">
        <f t="shared" si="3"/>
        <v>239.12920701715424</v>
      </c>
      <c r="F29" s="14">
        <f t="shared" si="4"/>
        <v>151.82806794739952</v>
      </c>
      <c r="G29" s="15">
        <f>'[4]Свод '!$L$31</f>
        <v>145196.41513331985</v>
      </c>
      <c r="H29" s="15">
        <f t="shared" si="11"/>
        <v>12099.701261109987</v>
      </c>
      <c r="I29" s="15">
        <f t="shared" si="6"/>
        <v>7840.6064171992721</v>
      </c>
      <c r="J29" s="15">
        <f t="shared" si="7"/>
        <v>6533.8386809993935</v>
      </c>
      <c r="K29" s="15">
        <f t="shared" si="8"/>
        <v>4355.8924539995951</v>
      </c>
      <c r="L29" s="15">
        <f t="shared" si="9"/>
        <v>176026.45394662811</v>
      </c>
      <c r="M29" s="25">
        <f>230*18.5</f>
        <v>4255</v>
      </c>
      <c r="N29" s="26">
        <v>1082</v>
      </c>
      <c r="O29" s="26">
        <f>66.6+2550</f>
        <v>2616.6</v>
      </c>
      <c r="P29" s="32">
        <v>125</v>
      </c>
      <c r="Q29" s="32"/>
      <c r="R29" s="34">
        <f>4000*205/1000</f>
        <v>820</v>
      </c>
      <c r="S29" s="18"/>
      <c r="T29" s="19"/>
      <c r="U29" s="19"/>
      <c r="V29" s="20">
        <f>L29+M29+N29+O29+P29+S29+R29+T29+U29+Q29</f>
        <v>184925.05394662812</v>
      </c>
      <c r="W29" s="22">
        <f t="shared" si="0"/>
        <v>607.85714285714289</v>
      </c>
      <c r="X29" s="23" t="e">
        <f>#REF!+#REF!+#REF!+#REF!</f>
        <v>#REF!</v>
      </c>
      <c r="Y29" s="21" t="e">
        <f t="shared" si="1"/>
        <v>#REF!</v>
      </c>
    </row>
    <row r="30" spans="1:31" s="22" customFormat="1" ht="15.75" customHeight="1" x14ac:dyDescent="0.25">
      <c r="A30" s="24">
        <v>23</v>
      </c>
      <c r="B30" s="12" t="s">
        <v>44</v>
      </c>
      <c r="C30" s="14">
        <f>'[1]Свод '!$J$27/1000</f>
        <v>8205.6325673637239</v>
      </c>
      <c r="D30" s="14">
        <f t="shared" si="2"/>
        <v>443.10415863764104</v>
      </c>
      <c r="E30" s="14">
        <f t="shared" si="3"/>
        <v>258.47742587195734</v>
      </c>
      <c r="F30" s="14">
        <f t="shared" si="4"/>
        <v>164.11265134727449</v>
      </c>
      <c r="G30" s="15">
        <f>'[4]Свод '!$L$28</f>
        <v>136977.27020304691</v>
      </c>
      <c r="H30" s="15">
        <f t="shared" si="11"/>
        <v>11414.772516920575</v>
      </c>
      <c r="I30" s="15">
        <f t="shared" si="6"/>
        <v>7396.7725909645324</v>
      </c>
      <c r="J30" s="15">
        <f t="shared" si="7"/>
        <v>6163.9771591371109</v>
      </c>
      <c r="K30" s="15">
        <f t="shared" si="8"/>
        <v>4109.3181060914067</v>
      </c>
      <c r="L30" s="15">
        <f t="shared" si="9"/>
        <v>166062.11057616054</v>
      </c>
      <c r="M30" s="25">
        <f>220*18.5</f>
        <v>4070</v>
      </c>
      <c r="N30" s="26">
        <v>1009</v>
      </c>
      <c r="O30" s="26">
        <f>66.6+1813</f>
        <v>1879.6</v>
      </c>
      <c r="P30" s="32">
        <v>62.5</v>
      </c>
      <c r="Q30" s="32"/>
      <c r="R30" s="17"/>
      <c r="S30" s="18"/>
      <c r="T30" s="19"/>
      <c r="U30" s="19"/>
      <c r="V30" s="20">
        <f t="shared" si="10"/>
        <v>173083.21057616055</v>
      </c>
      <c r="W30" s="22">
        <f t="shared" si="0"/>
        <v>581.42857142857144</v>
      </c>
      <c r="X30" s="23" t="e">
        <f>#REF!+#REF!+#REF!+#REF!</f>
        <v>#REF!</v>
      </c>
      <c r="Y30" s="21" t="e">
        <f t="shared" si="1"/>
        <v>#REF!</v>
      </c>
    </row>
    <row r="31" spans="1:31" s="22" customFormat="1" ht="15.75" customHeight="1" x14ac:dyDescent="0.25">
      <c r="A31" s="27">
        <v>24</v>
      </c>
      <c r="B31" s="12" t="s">
        <v>45</v>
      </c>
      <c r="C31" s="14">
        <f>'[1]Свод '!$J$28/1000</f>
        <v>9770.7607949533067</v>
      </c>
      <c r="D31" s="14">
        <f t="shared" si="2"/>
        <v>527.62108292747848</v>
      </c>
      <c r="E31" s="14">
        <f t="shared" si="3"/>
        <v>307.77896504102915</v>
      </c>
      <c r="F31" s="14">
        <f t="shared" si="4"/>
        <v>195.41521589906614</v>
      </c>
      <c r="G31" s="15">
        <f>'[4]Свод '!$L$29</f>
        <v>202909.6029928838</v>
      </c>
      <c r="H31" s="15">
        <f t="shared" si="11"/>
        <v>16909.133582740316</v>
      </c>
      <c r="I31" s="15">
        <f t="shared" si="6"/>
        <v>10957.118561615724</v>
      </c>
      <c r="J31" s="15">
        <f t="shared" si="7"/>
        <v>9130.9321346797715</v>
      </c>
      <c r="K31" s="15">
        <f t="shared" si="8"/>
        <v>6087.2880897865134</v>
      </c>
      <c r="L31" s="15">
        <f t="shared" si="9"/>
        <v>245994.07536170614</v>
      </c>
      <c r="M31" s="25">
        <f>150*18.5</f>
        <v>2775</v>
      </c>
      <c r="N31" s="26">
        <v>1757</v>
      </c>
      <c r="O31" s="26">
        <f>66.6+2502</f>
        <v>2568.6</v>
      </c>
      <c r="P31" s="32">
        <v>62.5</v>
      </c>
      <c r="Q31" s="32"/>
      <c r="R31" s="17"/>
      <c r="S31" s="18"/>
      <c r="T31" s="19"/>
      <c r="U31" s="19"/>
      <c r="V31" s="20">
        <f t="shared" si="10"/>
        <v>253157.17536170615</v>
      </c>
      <c r="W31" s="22">
        <f t="shared" si="0"/>
        <v>396.42857142857144</v>
      </c>
      <c r="X31" s="23" t="e">
        <f>#REF!+#REF!+#REF!+#REF!</f>
        <v>#REF!</v>
      </c>
      <c r="Y31" s="21" t="e">
        <f t="shared" si="1"/>
        <v>#REF!</v>
      </c>
    </row>
    <row r="32" spans="1:31" s="22" customFormat="1" ht="15.75" customHeight="1" x14ac:dyDescent="0.25">
      <c r="A32" s="27">
        <v>25</v>
      </c>
      <c r="B32" s="12" t="s">
        <v>46</v>
      </c>
      <c r="C32" s="14">
        <f>'[1]Свод '!$J$32/1000</f>
        <v>6678.4900416564324</v>
      </c>
      <c r="D32" s="14">
        <f t="shared" si="2"/>
        <v>360.63846224944734</v>
      </c>
      <c r="E32" s="14">
        <f t="shared" si="3"/>
        <v>210.37243631217763</v>
      </c>
      <c r="F32" s="14">
        <f t="shared" si="4"/>
        <v>133.56980083312865</v>
      </c>
      <c r="G32" s="15">
        <f>'[4]Свод '!$L$32</f>
        <v>135315.66920373752</v>
      </c>
      <c r="H32" s="15">
        <f t="shared" si="11"/>
        <v>11276.305766978126</v>
      </c>
      <c r="I32" s="15">
        <f t="shared" si="6"/>
        <v>7307.0461370018256</v>
      </c>
      <c r="J32" s="15">
        <f t="shared" si="7"/>
        <v>6089.2051141681886</v>
      </c>
      <c r="K32" s="15">
        <f t="shared" si="8"/>
        <v>4059.4700761121253</v>
      </c>
      <c r="L32" s="15">
        <f t="shared" si="9"/>
        <v>164047.69629799781</v>
      </c>
      <c r="M32" s="25">
        <f>250*18.5</f>
        <v>4625</v>
      </c>
      <c r="N32" s="26">
        <v>1299</v>
      </c>
      <c r="O32" s="26">
        <f>66.6+1370</f>
        <v>1436.6</v>
      </c>
      <c r="P32" s="32">
        <v>62.5</v>
      </c>
      <c r="Q32" s="32"/>
      <c r="R32" s="17"/>
      <c r="S32" s="18"/>
      <c r="T32" s="19"/>
      <c r="U32" s="19"/>
      <c r="V32" s="20">
        <f>L32+M32+N32+O32+P32+S32+R32+T32+U32+Q32</f>
        <v>171470.79629799782</v>
      </c>
      <c r="W32" s="22">
        <f t="shared" si="0"/>
        <v>660.71428571428567</v>
      </c>
      <c r="X32" s="23" t="e">
        <f>#REF!+#REF!+#REF!+#REF!</f>
        <v>#REF!</v>
      </c>
      <c r="Y32" s="21" t="e">
        <f t="shared" si="1"/>
        <v>#REF!</v>
      </c>
    </row>
    <row r="33" spans="1:25" s="22" customFormat="1" ht="15.75" customHeight="1" x14ac:dyDescent="0.25">
      <c r="A33" s="27">
        <v>26</v>
      </c>
      <c r="B33" s="12" t="s">
        <v>47</v>
      </c>
      <c r="C33" s="14">
        <f>'[1]Свод '!$J$29/1000</f>
        <v>10489.088921817891</v>
      </c>
      <c r="D33" s="14">
        <f t="shared" si="2"/>
        <v>566.41080177816605</v>
      </c>
      <c r="E33" s="14">
        <f t="shared" si="3"/>
        <v>330.40630103726357</v>
      </c>
      <c r="F33" s="14">
        <f t="shared" si="4"/>
        <v>209.78177843635783</v>
      </c>
      <c r="G33" s="15">
        <f>'[4]Свод '!$L$30</f>
        <v>204743.41193447838</v>
      </c>
      <c r="H33" s="15">
        <f t="shared" si="11"/>
        <v>17061.950994539864</v>
      </c>
      <c r="I33" s="15">
        <f t="shared" si="6"/>
        <v>11056.144244461831</v>
      </c>
      <c r="J33" s="15">
        <f t="shared" si="7"/>
        <v>9213.4535370515277</v>
      </c>
      <c r="K33" s="15">
        <f t="shared" si="8"/>
        <v>6142.3023580343515</v>
      </c>
      <c r="L33" s="15">
        <f t="shared" si="9"/>
        <v>248217.26306856598</v>
      </c>
      <c r="M33" s="25">
        <f>260*18.5</f>
        <v>4810</v>
      </c>
      <c r="N33" s="26">
        <v>2286</v>
      </c>
      <c r="O33" s="26">
        <f>66.6+2293</f>
        <v>2359.6</v>
      </c>
      <c r="P33" s="32">
        <v>100</v>
      </c>
      <c r="Q33" s="32">
        <v>250</v>
      </c>
      <c r="R33" s="17">
        <f>2170*205/1000</f>
        <v>444.85</v>
      </c>
      <c r="S33" s="18"/>
      <c r="T33" s="19"/>
      <c r="U33" s="19"/>
      <c r="V33" s="20">
        <f>L33+M33+N33+O33+P33+S33+R33+T33+U33+Q33</f>
        <v>258467.71306856599</v>
      </c>
      <c r="W33" s="22">
        <f t="shared" si="0"/>
        <v>687.14285714285711</v>
      </c>
      <c r="X33" s="23" t="e">
        <f>#REF!+#REF!+#REF!+#REF!</f>
        <v>#REF!</v>
      </c>
      <c r="Y33" s="21" t="e">
        <f t="shared" si="1"/>
        <v>#REF!</v>
      </c>
    </row>
    <row r="34" spans="1:25" s="22" customFormat="1" ht="16.5" customHeight="1" x14ac:dyDescent="0.25">
      <c r="A34" s="27">
        <v>27</v>
      </c>
      <c r="B34" s="12" t="s">
        <v>48</v>
      </c>
      <c r="C34" s="14">
        <f>'[1]Свод '!$J$30/1000</f>
        <v>6201.4422744585163</v>
      </c>
      <c r="D34" s="14">
        <f t="shared" si="2"/>
        <v>334.87788282075991</v>
      </c>
      <c r="E34" s="14">
        <f t="shared" si="3"/>
        <v>195.34543164544328</v>
      </c>
      <c r="F34" s="14">
        <f t="shared" si="4"/>
        <v>124.02884548917032</v>
      </c>
      <c r="G34" s="15">
        <f>'[4]Свод '!$L$45</f>
        <v>83921.800219865399</v>
      </c>
      <c r="H34" s="15">
        <f t="shared" si="11"/>
        <v>6993.48335165545</v>
      </c>
      <c r="I34" s="15">
        <f t="shared" si="6"/>
        <v>4531.7772118727316</v>
      </c>
      <c r="J34" s="15">
        <f t="shared" si="7"/>
        <v>3776.4810098939433</v>
      </c>
      <c r="K34" s="15">
        <f t="shared" si="8"/>
        <v>2517.6540065959621</v>
      </c>
      <c r="L34" s="15">
        <f t="shared" si="9"/>
        <v>101741.19579988348</v>
      </c>
      <c r="M34" s="25">
        <f>200*18.5</f>
        <v>3700</v>
      </c>
      <c r="N34" s="26">
        <v>2386</v>
      </c>
      <c r="O34" s="26">
        <f>66.6+2248</f>
        <v>2314.6</v>
      </c>
      <c r="P34" s="32">
        <v>150</v>
      </c>
      <c r="Q34" s="32"/>
      <c r="R34" s="17"/>
      <c r="S34" s="18"/>
      <c r="T34" s="19"/>
      <c r="U34" s="19"/>
      <c r="V34" s="20">
        <f>L34+M34+N34+O34+P34+S34+R34+T34+U34+Q34</f>
        <v>110291.79579988349</v>
      </c>
      <c r="W34" s="22">
        <f t="shared" si="0"/>
        <v>528.57142857142856</v>
      </c>
      <c r="X34" s="23" t="e">
        <f>#REF!+#REF!+#REF!+#REF!</f>
        <v>#REF!</v>
      </c>
      <c r="Y34" s="21" t="e">
        <f t="shared" si="1"/>
        <v>#REF!</v>
      </c>
    </row>
    <row r="35" spans="1:25" s="22" customFormat="1" ht="15.75" customHeight="1" x14ac:dyDescent="0.25">
      <c r="A35" s="27">
        <v>28</v>
      </c>
      <c r="B35" s="12" t="s">
        <v>49</v>
      </c>
      <c r="C35" s="14">
        <v>16253</v>
      </c>
      <c r="D35" s="14">
        <f t="shared" si="2"/>
        <v>877.66200000000003</v>
      </c>
      <c r="E35" s="14">
        <f t="shared" si="3"/>
        <v>511.9695000000001</v>
      </c>
      <c r="F35" s="14">
        <f t="shared" si="4"/>
        <v>325.06</v>
      </c>
      <c r="G35" s="15">
        <f>'[4]Свод '!$L$33</f>
        <v>291728.82011335104</v>
      </c>
      <c r="H35" s="15">
        <f t="shared" si="11"/>
        <v>24310.735009445922</v>
      </c>
      <c r="I35" s="15">
        <f t="shared" si="6"/>
        <v>15753.356286120956</v>
      </c>
      <c r="J35" s="15">
        <f t="shared" si="7"/>
        <v>13127.796905100797</v>
      </c>
      <c r="K35" s="15">
        <f t="shared" si="8"/>
        <v>8751.8646034005305</v>
      </c>
      <c r="L35" s="15">
        <f t="shared" si="9"/>
        <v>353672.57291741925</v>
      </c>
      <c r="M35" s="25">
        <f>200*18.5</f>
        <v>3700</v>
      </c>
      <c r="N35" s="159">
        <v>2889</v>
      </c>
      <c r="O35" s="26">
        <f>88.8+6988</f>
        <v>7076.8</v>
      </c>
      <c r="P35" s="16">
        <v>187.5</v>
      </c>
      <c r="Q35" s="16">
        <v>250</v>
      </c>
      <c r="R35" s="17"/>
      <c r="S35" s="18"/>
      <c r="T35" s="19"/>
      <c r="U35" s="19"/>
      <c r="V35" s="20">
        <f t="shared" si="10"/>
        <v>367775.87291741924</v>
      </c>
      <c r="W35" s="22">
        <f t="shared" si="0"/>
        <v>528.57142857142856</v>
      </c>
      <c r="X35" s="23" t="e">
        <f>#REF!+#REF!+#REF!+#REF!</f>
        <v>#REF!</v>
      </c>
      <c r="Y35" s="21" t="e">
        <f t="shared" si="1"/>
        <v>#REF!</v>
      </c>
    </row>
    <row r="36" spans="1:25" s="22" customFormat="1" ht="15.75" customHeight="1" x14ac:dyDescent="0.25">
      <c r="A36" s="11">
        <v>29</v>
      </c>
      <c r="B36" s="12" t="s">
        <v>50</v>
      </c>
      <c r="C36" s="14">
        <f>'[1]Свод '!$J$34/1000</f>
        <v>6468.2395284918512</v>
      </c>
      <c r="D36" s="14">
        <f t="shared" si="2"/>
        <v>349.28493453855998</v>
      </c>
      <c r="E36" s="14">
        <f t="shared" si="3"/>
        <v>203.74954514749334</v>
      </c>
      <c r="F36" s="14">
        <f t="shared" si="4"/>
        <v>129.36479056983703</v>
      </c>
      <c r="G36" s="15">
        <f>'[4]Свод '!$L$34</f>
        <v>109780.70237080315</v>
      </c>
      <c r="H36" s="15">
        <f t="shared" si="11"/>
        <v>9148.3918642335957</v>
      </c>
      <c r="I36" s="15">
        <f t="shared" si="6"/>
        <v>5928.1579280233691</v>
      </c>
      <c r="J36" s="15">
        <f t="shared" si="7"/>
        <v>4940.1316066861418</v>
      </c>
      <c r="K36" s="15">
        <f t="shared" si="8"/>
        <v>3293.4210711240944</v>
      </c>
      <c r="L36" s="15">
        <f t="shared" si="9"/>
        <v>133090.80484087035</v>
      </c>
      <c r="M36" s="25">
        <f>350*18.5</f>
        <v>6475</v>
      </c>
      <c r="N36" s="26">
        <v>3428</v>
      </c>
      <c r="O36" s="26">
        <f>22.2+22.2+628</f>
        <v>672.4</v>
      </c>
      <c r="P36" s="16">
        <v>62.5</v>
      </c>
      <c r="Q36" s="16"/>
      <c r="R36" s="17"/>
      <c r="S36" s="18"/>
      <c r="T36" s="19"/>
      <c r="U36" s="19"/>
      <c r="V36" s="20">
        <f>L36+M36+N36+O36+P36+S36+R36+T36+U36+Q36</f>
        <v>143728.70484087034</v>
      </c>
      <c r="W36" s="22">
        <f t="shared" si="0"/>
        <v>925</v>
      </c>
      <c r="X36" s="23" t="e">
        <f>#REF!+#REF!+#REF!+#REF!</f>
        <v>#REF!</v>
      </c>
      <c r="Y36" s="21" t="e">
        <f t="shared" si="1"/>
        <v>#REF!</v>
      </c>
    </row>
    <row r="37" spans="1:25" s="22" customFormat="1" ht="15.75" customHeight="1" x14ac:dyDescent="0.25">
      <c r="A37" s="24">
        <v>30</v>
      </c>
      <c r="B37" s="12" t="s">
        <v>51</v>
      </c>
      <c r="C37" s="14">
        <f>'[1]Свод '!$J$36/1000</f>
        <v>4405.815049957946</v>
      </c>
      <c r="D37" s="14">
        <f t="shared" si="2"/>
        <v>237.91401269772908</v>
      </c>
      <c r="E37" s="14">
        <f t="shared" si="3"/>
        <v>138.78317407367533</v>
      </c>
      <c r="F37" s="14">
        <f t="shared" si="4"/>
        <v>88.116300999158923</v>
      </c>
      <c r="G37" s="15">
        <f>'[4]Свод '!$L$36</f>
        <v>72798.854047710382</v>
      </c>
      <c r="H37" s="15">
        <f t="shared" si="11"/>
        <v>6066.5711706425318</v>
      </c>
      <c r="I37" s="15">
        <f t="shared" si="6"/>
        <v>3931.1381185763603</v>
      </c>
      <c r="J37" s="15">
        <f t="shared" si="7"/>
        <v>3275.9484321469672</v>
      </c>
      <c r="K37" s="15">
        <f t="shared" si="8"/>
        <v>2183.9656214313113</v>
      </c>
      <c r="L37" s="15">
        <f t="shared" si="9"/>
        <v>88256.477390507556</v>
      </c>
      <c r="M37" s="25">
        <f>220*18.5</f>
        <v>4070</v>
      </c>
      <c r="N37" s="26">
        <v>1468</v>
      </c>
      <c r="O37" s="26">
        <f>66.6+696</f>
        <v>762.6</v>
      </c>
      <c r="P37" s="16">
        <v>150</v>
      </c>
      <c r="Q37" s="16">
        <v>145</v>
      </c>
      <c r="R37" s="17"/>
      <c r="S37" s="18"/>
      <c r="T37" s="19"/>
      <c r="U37" s="19"/>
      <c r="V37" s="20">
        <f t="shared" ref="V37:V63" si="12">L37+M37+N37+O37+P37+S37+R37+T37+U37+Q37</f>
        <v>94852.077390507562</v>
      </c>
      <c r="W37" s="22">
        <f t="shared" si="0"/>
        <v>581.42857142857144</v>
      </c>
      <c r="X37" s="23" t="e">
        <f>#REF!+#REF!+#REF!+#REF!</f>
        <v>#REF!</v>
      </c>
      <c r="Y37" s="21" t="e">
        <f t="shared" si="1"/>
        <v>#REF!</v>
      </c>
    </row>
    <row r="38" spans="1:25" s="22" customFormat="1" ht="15.75" customHeight="1" x14ac:dyDescent="0.25">
      <c r="A38" s="27">
        <v>31</v>
      </c>
      <c r="B38" s="12" t="s">
        <v>52</v>
      </c>
      <c r="C38" s="14">
        <f>'[1]Свод '!$J$35/1000</f>
        <v>3807.9689260522664</v>
      </c>
      <c r="D38" s="14">
        <f t="shared" si="2"/>
        <v>205.63032200682238</v>
      </c>
      <c r="E38" s="14">
        <f t="shared" si="3"/>
        <v>119.9510211706464</v>
      </c>
      <c r="F38" s="14">
        <f t="shared" si="4"/>
        <v>76.159378521045326</v>
      </c>
      <c r="G38" s="15">
        <f>'[4]Свод '!$L$35</f>
        <v>72492.188680575884</v>
      </c>
      <c r="H38" s="15">
        <f t="shared" si="11"/>
        <v>6041.0157233813234</v>
      </c>
      <c r="I38" s="15">
        <f t="shared" si="6"/>
        <v>3914.5781887510975</v>
      </c>
      <c r="J38" s="15">
        <f t="shared" si="7"/>
        <v>3262.1484906259147</v>
      </c>
      <c r="K38" s="15">
        <f t="shared" si="8"/>
        <v>2174.7656604172766</v>
      </c>
      <c r="L38" s="15">
        <f t="shared" si="9"/>
        <v>87884.696743751498</v>
      </c>
      <c r="M38" s="25">
        <f>170*18.5</f>
        <v>3145</v>
      </c>
      <c r="N38" s="26">
        <v>458</v>
      </c>
      <c r="O38" s="26">
        <v>44.4</v>
      </c>
      <c r="P38" s="16">
        <v>62.5</v>
      </c>
      <c r="Q38" s="16"/>
      <c r="R38" s="17"/>
      <c r="S38" s="18"/>
      <c r="T38" s="19"/>
      <c r="U38" s="19"/>
      <c r="V38" s="20">
        <f t="shared" si="12"/>
        <v>91594.596743751492</v>
      </c>
      <c r="W38" s="22">
        <f t="shared" si="0"/>
        <v>449.28571428571428</v>
      </c>
      <c r="X38" s="23" t="e">
        <f>#REF!+#REF!+#REF!+#REF!</f>
        <v>#REF!</v>
      </c>
      <c r="Y38" s="21" t="e">
        <f t="shared" si="1"/>
        <v>#REF!</v>
      </c>
    </row>
    <row r="39" spans="1:25" s="22" customFormat="1" ht="15.75" customHeight="1" x14ac:dyDescent="0.25">
      <c r="A39" s="27">
        <v>32</v>
      </c>
      <c r="B39" s="12" t="s">
        <v>53</v>
      </c>
      <c r="C39" s="14">
        <f>'[1]Свод '!$J$39/1000</f>
        <v>7587.0912818296629</v>
      </c>
      <c r="D39" s="14">
        <f t="shared" si="2"/>
        <v>409.70292921880178</v>
      </c>
      <c r="E39" s="14">
        <f t="shared" si="3"/>
        <v>238.99337537763441</v>
      </c>
      <c r="F39" s="14">
        <f t="shared" si="4"/>
        <v>151.74182563659326</v>
      </c>
      <c r="G39" s="15">
        <f>'[4]Свод '!$L$14</f>
        <v>115678.78622580545</v>
      </c>
      <c r="H39" s="15">
        <f t="shared" si="11"/>
        <v>9639.8988521504543</v>
      </c>
      <c r="I39" s="15">
        <f t="shared" si="6"/>
        <v>6246.6544561934943</v>
      </c>
      <c r="J39" s="15">
        <f t="shared" si="7"/>
        <v>5205.5453801612457</v>
      </c>
      <c r="K39" s="15">
        <f t="shared" si="8"/>
        <v>3470.3635867741637</v>
      </c>
      <c r="L39" s="15">
        <f t="shared" si="9"/>
        <v>140241.24850108483</v>
      </c>
      <c r="M39" s="25">
        <f>200*18.5</f>
        <v>3700</v>
      </c>
      <c r="N39" s="26">
        <v>829</v>
      </c>
      <c r="O39" s="26">
        <v>88.8</v>
      </c>
      <c r="P39" s="16"/>
      <c r="Q39" s="16">
        <v>145</v>
      </c>
      <c r="R39" s="17"/>
      <c r="S39" s="18"/>
      <c r="T39" s="19"/>
      <c r="U39" s="19"/>
      <c r="V39" s="20">
        <f t="shared" si="12"/>
        <v>145004.04850108482</v>
      </c>
      <c r="W39" s="22">
        <f t="shared" si="0"/>
        <v>528.57142857142856</v>
      </c>
      <c r="X39" s="23" t="e">
        <f>#REF!+#REF!+#REF!+#REF!</f>
        <v>#REF!</v>
      </c>
      <c r="Y39" s="21" t="e">
        <f t="shared" si="1"/>
        <v>#REF!</v>
      </c>
    </row>
    <row r="40" spans="1:25" s="22" customFormat="1" ht="24.75" customHeight="1" x14ac:dyDescent="0.25">
      <c r="A40" s="27">
        <v>33</v>
      </c>
      <c r="B40" s="12" t="s">
        <v>54</v>
      </c>
      <c r="C40" s="14">
        <f>'[1]Свод '!$J$38/1000</f>
        <v>4116.4666800585164</v>
      </c>
      <c r="D40" s="14">
        <f t="shared" si="2"/>
        <v>222.28920072315989</v>
      </c>
      <c r="E40" s="14">
        <f t="shared" si="3"/>
        <v>129.66870042184328</v>
      </c>
      <c r="F40" s="14">
        <f t="shared" si="4"/>
        <v>82.329333601170333</v>
      </c>
      <c r="G40" s="15">
        <f>'[4]Свод '!$L$37</f>
        <v>62580.935976223001</v>
      </c>
      <c r="H40" s="15">
        <f t="shared" si="11"/>
        <v>5215.0779980185835</v>
      </c>
      <c r="I40" s="15">
        <f t="shared" si="6"/>
        <v>3379.3705427160421</v>
      </c>
      <c r="J40" s="15">
        <f t="shared" si="7"/>
        <v>2816.1421189300354</v>
      </c>
      <c r="K40" s="15">
        <f t="shared" si="8"/>
        <v>1877.42807928669</v>
      </c>
      <c r="L40" s="15">
        <f t="shared" si="9"/>
        <v>75868.954715174361</v>
      </c>
      <c r="M40" s="25">
        <f>160*18.5</f>
        <v>2960</v>
      </c>
      <c r="N40" s="26">
        <v>642</v>
      </c>
      <c r="O40" s="26">
        <v>44.4</v>
      </c>
      <c r="P40" s="16">
        <v>62.5</v>
      </c>
      <c r="Q40" s="16"/>
      <c r="R40" s="17"/>
      <c r="S40" s="18"/>
      <c r="T40" s="19"/>
      <c r="U40" s="19"/>
      <c r="V40" s="20">
        <f t="shared" si="12"/>
        <v>79577.854715174355</v>
      </c>
      <c r="W40" s="22">
        <f t="shared" ref="W40:W64" si="13">M40/7</f>
        <v>422.85714285714283</v>
      </c>
      <c r="X40" s="23" t="e">
        <f>#REF!+#REF!+#REF!+#REF!</f>
        <v>#REF!</v>
      </c>
      <c r="Y40" s="21" t="e">
        <f t="shared" ref="Y40:Y64" si="14">V40-X40</f>
        <v>#REF!</v>
      </c>
    </row>
    <row r="41" spans="1:25" s="22" customFormat="1" ht="15.75" customHeight="1" x14ac:dyDescent="0.25">
      <c r="A41" s="27">
        <v>34</v>
      </c>
      <c r="B41" s="12" t="s">
        <v>55</v>
      </c>
      <c r="C41" s="14">
        <f>'[1]Свод '!$J$41/1000</f>
        <v>8241.4683737085161</v>
      </c>
      <c r="D41" s="14">
        <f t="shared" si="2"/>
        <v>445.03929218025979</v>
      </c>
      <c r="E41" s="14">
        <f t="shared" si="3"/>
        <v>259.60625377181827</v>
      </c>
      <c r="F41" s="14">
        <f t="shared" si="4"/>
        <v>164.82936747417031</v>
      </c>
      <c r="G41" s="15">
        <f>'[4]Свод '!$L$39</f>
        <v>167981.15700476401</v>
      </c>
      <c r="H41" s="15">
        <f t="shared" si="11"/>
        <v>13998.429750397001</v>
      </c>
      <c r="I41" s="15">
        <f t="shared" si="6"/>
        <v>9070.9824782572559</v>
      </c>
      <c r="J41" s="15">
        <f t="shared" si="7"/>
        <v>7559.1520652143809</v>
      </c>
      <c r="K41" s="15">
        <f t="shared" si="8"/>
        <v>5039.4347101429203</v>
      </c>
      <c r="L41" s="15">
        <f t="shared" si="9"/>
        <v>203649.15600877558</v>
      </c>
      <c r="M41" s="25">
        <f>180*18.5</f>
        <v>3330</v>
      </c>
      <c r="N41" s="26">
        <v>964</v>
      </c>
      <c r="O41" s="26">
        <f>44.4+420</f>
        <v>464.4</v>
      </c>
      <c r="P41" s="16">
        <v>300</v>
      </c>
      <c r="Q41" s="16"/>
      <c r="R41" s="17"/>
      <c r="S41" s="18"/>
      <c r="T41" s="19"/>
      <c r="U41" s="19"/>
      <c r="V41" s="20">
        <f t="shared" si="12"/>
        <v>208707.55600877557</v>
      </c>
      <c r="W41" s="22">
        <f t="shared" si="13"/>
        <v>475.71428571428572</v>
      </c>
      <c r="X41" s="23" t="e">
        <f>#REF!+#REF!+#REF!+#REF!</f>
        <v>#REF!</v>
      </c>
      <c r="Y41" s="21" t="e">
        <f t="shared" si="14"/>
        <v>#REF!</v>
      </c>
    </row>
    <row r="42" spans="1:25" s="22" customFormat="1" ht="15.75" customHeight="1" x14ac:dyDescent="0.25">
      <c r="A42" s="27">
        <v>35</v>
      </c>
      <c r="B42" s="12" t="s">
        <v>56</v>
      </c>
      <c r="C42" s="14">
        <f>'[1]Свод '!$J$42/1000</f>
        <v>6425.0795290933629</v>
      </c>
      <c r="D42" s="14">
        <f t="shared" si="2"/>
        <v>346.9542945710416</v>
      </c>
      <c r="E42" s="14">
        <f t="shared" si="3"/>
        <v>202.39000516644094</v>
      </c>
      <c r="F42" s="14">
        <f t="shared" si="4"/>
        <v>128.50159058186725</v>
      </c>
      <c r="G42" s="15">
        <f>'[4]Свод '!$L$40</f>
        <v>116266.02602512499</v>
      </c>
      <c r="H42" s="15">
        <f t="shared" si="11"/>
        <v>9688.8355020937488</v>
      </c>
      <c r="I42" s="15">
        <f t="shared" si="6"/>
        <v>6278.3654053567489</v>
      </c>
      <c r="J42" s="15">
        <f t="shared" si="7"/>
        <v>5231.9711711306245</v>
      </c>
      <c r="K42" s="15">
        <f t="shared" si="8"/>
        <v>3487.9807807537495</v>
      </c>
      <c r="L42" s="15">
        <f t="shared" si="9"/>
        <v>140953.17888445986</v>
      </c>
      <c r="M42" s="25">
        <v>5474</v>
      </c>
      <c r="N42" s="26">
        <v>1088</v>
      </c>
      <c r="O42" s="26">
        <f>66.6+1776</f>
        <v>1842.6</v>
      </c>
      <c r="P42" s="16">
        <v>112.5</v>
      </c>
      <c r="Q42" s="16"/>
      <c r="R42" s="17"/>
      <c r="S42" s="18"/>
      <c r="T42" s="19"/>
      <c r="U42" s="19"/>
      <c r="V42" s="20">
        <f t="shared" si="12"/>
        <v>149470.27888445987</v>
      </c>
      <c r="W42" s="22">
        <f t="shared" si="13"/>
        <v>782</v>
      </c>
      <c r="X42" s="23" t="e">
        <f>#REF!+#REF!+#REF!+#REF!</f>
        <v>#REF!</v>
      </c>
      <c r="Y42" s="21" t="e">
        <f t="shared" si="14"/>
        <v>#REF!</v>
      </c>
    </row>
    <row r="43" spans="1:25" s="38" customFormat="1" ht="15.75" customHeight="1" x14ac:dyDescent="0.25">
      <c r="A43" s="11">
        <v>36</v>
      </c>
      <c r="B43" s="12" t="s">
        <v>57</v>
      </c>
      <c r="C43" s="35">
        <f>'[1]Свод '!$J$43/1000</f>
        <v>3725.8337278121139</v>
      </c>
      <c r="D43" s="35">
        <f t="shared" si="2"/>
        <v>201.19502130185415</v>
      </c>
      <c r="E43" s="35">
        <f t="shared" si="3"/>
        <v>117.36376242608159</v>
      </c>
      <c r="F43" s="35">
        <f t="shared" si="4"/>
        <v>74.516674556242279</v>
      </c>
      <c r="G43" s="15">
        <f>'[4]Свод '!$L$41</f>
        <v>85731.575195557816</v>
      </c>
      <c r="H43" s="15">
        <f t="shared" si="11"/>
        <v>7144.2979329631517</v>
      </c>
      <c r="I43" s="15">
        <f t="shared" si="6"/>
        <v>4629.5050605601218</v>
      </c>
      <c r="J43" s="15">
        <f t="shared" si="7"/>
        <v>3857.9208838001018</v>
      </c>
      <c r="K43" s="15">
        <f t="shared" si="8"/>
        <v>2571.9472558667344</v>
      </c>
      <c r="L43" s="15">
        <f t="shared" si="9"/>
        <v>103935.24632874793</v>
      </c>
      <c r="M43" s="36">
        <f>140*18.5</f>
        <v>2590</v>
      </c>
      <c r="N43" s="37">
        <v>439</v>
      </c>
      <c r="O43" s="37">
        <v>22.2</v>
      </c>
      <c r="P43" s="16">
        <v>62.5</v>
      </c>
      <c r="Q43" s="16"/>
      <c r="R43" s="17"/>
      <c r="S43" s="18"/>
      <c r="T43" s="19"/>
      <c r="U43" s="19"/>
      <c r="V43" s="20">
        <f t="shared" si="12"/>
        <v>107048.94632874793</v>
      </c>
      <c r="W43" s="22">
        <f t="shared" si="13"/>
        <v>370</v>
      </c>
      <c r="X43" s="23" t="e">
        <f>#REF!+#REF!+#REF!+#REF!</f>
        <v>#REF!</v>
      </c>
      <c r="Y43" s="21" t="e">
        <f t="shared" si="14"/>
        <v>#REF!</v>
      </c>
    </row>
    <row r="44" spans="1:25" s="22" customFormat="1" ht="15.75" customHeight="1" x14ac:dyDescent="0.25">
      <c r="A44" s="24">
        <v>37</v>
      </c>
      <c r="B44" s="12" t="s">
        <v>58</v>
      </c>
      <c r="C44" s="14">
        <f>'[1]Свод '!$J$45/1000</f>
        <v>3701.8287106355992</v>
      </c>
      <c r="D44" s="14">
        <f t="shared" si="2"/>
        <v>199.89875037432233</v>
      </c>
      <c r="E44" s="14">
        <f t="shared" si="3"/>
        <v>116.60760438502139</v>
      </c>
      <c r="F44" s="14">
        <f t="shared" si="4"/>
        <v>74.036574212711983</v>
      </c>
      <c r="G44" s="15">
        <f>'[4]Свод '!$L$43</f>
        <v>67031.031786480948</v>
      </c>
      <c r="H44" s="15">
        <f t="shared" si="11"/>
        <v>5585.919315540079</v>
      </c>
      <c r="I44" s="15">
        <f t="shared" si="6"/>
        <v>3619.6757164699711</v>
      </c>
      <c r="J44" s="15">
        <f t="shared" si="7"/>
        <v>3016.3964303916428</v>
      </c>
      <c r="K44" s="15">
        <f t="shared" si="8"/>
        <v>2010.9309535944283</v>
      </c>
      <c r="L44" s="15">
        <f t="shared" si="9"/>
        <v>81263.954202477064</v>
      </c>
      <c r="M44" s="25">
        <f>80*18.5</f>
        <v>1480</v>
      </c>
      <c r="N44" s="26">
        <v>355</v>
      </c>
      <c r="O44" s="37">
        <v>22.2</v>
      </c>
      <c r="P44" s="16">
        <v>75</v>
      </c>
      <c r="Q44" s="16"/>
      <c r="R44" s="17"/>
      <c r="S44" s="18"/>
      <c r="T44" s="19"/>
      <c r="U44" s="19"/>
      <c r="V44" s="20">
        <f t="shared" si="12"/>
        <v>83196.154202477061</v>
      </c>
      <c r="W44" s="22">
        <f t="shared" si="13"/>
        <v>211.42857142857142</v>
      </c>
      <c r="X44" s="23" t="e">
        <f>#REF!+#REF!+#REF!+#REF!</f>
        <v>#REF!</v>
      </c>
      <c r="Y44" s="21" t="e">
        <f t="shared" si="14"/>
        <v>#REF!</v>
      </c>
    </row>
    <row r="45" spans="1:25" s="22" customFormat="1" ht="15.75" customHeight="1" x14ac:dyDescent="0.25">
      <c r="A45" s="27">
        <v>38</v>
      </c>
      <c r="B45" s="12" t="s">
        <v>59</v>
      </c>
      <c r="C45" s="14">
        <f>'[1]Свод '!$J$46/1000</f>
        <v>4431.6803452793492</v>
      </c>
      <c r="D45" s="14">
        <f t="shared" si="2"/>
        <v>239.31073864508483</v>
      </c>
      <c r="E45" s="14">
        <f t="shared" si="3"/>
        <v>139.5979308762995</v>
      </c>
      <c r="F45" s="14">
        <f t="shared" si="4"/>
        <v>88.633606905586987</v>
      </c>
      <c r="G45" s="15">
        <f>'[4]Свод '!$L$44</f>
        <v>79994.468972418719</v>
      </c>
      <c r="H45" s="15">
        <f t="shared" si="11"/>
        <v>6666.2057477015596</v>
      </c>
      <c r="I45" s="15">
        <f t="shared" si="6"/>
        <v>4319.7013245106109</v>
      </c>
      <c r="J45" s="15">
        <f t="shared" si="7"/>
        <v>3599.7511037588429</v>
      </c>
      <c r="K45" s="15">
        <f t="shared" si="8"/>
        <v>2399.8340691725616</v>
      </c>
      <c r="L45" s="15">
        <f t="shared" si="9"/>
        <v>96979.96121756229</v>
      </c>
      <c r="M45" s="25">
        <f>180*18.5</f>
        <v>3330</v>
      </c>
      <c r="N45" s="26">
        <v>2122</v>
      </c>
      <c r="O45" s="37">
        <v>22.2</v>
      </c>
      <c r="P45" s="16">
        <v>62.5</v>
      </c>
      <c r="Q45" s="16"/>
      <c r="R45" s="17"/>
      <c r="S45" s="18"/>
      <c r="T45" s="19"/>
      <c r="U45" s="19"/>
      <c r="V45" s="20">
        <f t="shared" si="12"/>
        <v>102516.66121756229</v>
      </c>
      <c r="W45" s="22">
        <f t="shared" si="13"/>
        <v>475.71428571428572</v>
      </c>
      <c r="X45" s="23" t="e">
        <f>#REF!+#REF!+#REF!+#REF!</f>
        <v>#REF!</v>
      </c>
      <c r="Y45" s="21" t="e">
        <f t="shared" si="14"/>
        <v>#REF!</v>
      </c>
    </row>
    <row r="46" spans="1:25" s="22" customFormat="1" ht="15.75" customHeight="1" x14ac:dyDescent="0.25">
      <c r="A46" s="27">
        <v>39</v>
      </c>
      <c r="B46" s="12" t="s">
        <v>60</v>
      </c>
      <c r="C46" s="14">
        <f>'[1]Свод '!$J$44/1000</f>
        <v>5387.8751330599744</v>
      </c>
      <c r="D46" s="14">
        <f t="shared" si="2"/>
        <v>290.94525718523857</v>
      </c>
      <c r="E46" s="14">
        <f t="shared" si="3"/>
        <v>169.7180666913892</v>
      </c>
      <c r="F46" s="14">
        <f t="shared" si="4"/>
        <v>107.7575026611995</v>
      </c>
      <c r="G46" s="15">
        <f>'[2]Свод '!$L$42</f>
        <v>97706.213209330832</v>
      </c>
      <c r="H46" s="15">
        <f t="shared" si="11"/>
        <v>8142.1844341109027</v>
      </c>
      <c r="I46" s="15">
        <f t="shared" si="6"/>
        <v>5276.1355133038642</v>
      </c>
      <c r="J46" s="15">
        <f t="shared" si="7"/>
        <v>4396.779594419887</v>
      </c>
      <c r="K46" s="15">
        <f t="shared" si="8"/>
        <v>2931.1863962799248</v>
      </c>
      <c r="L46" s="15">
        <f t="shared" si="9"/>
        <v>118452.4991474454</v>
      </c>
      <c r="M46" s="25">
        <f>180*18.5</f>
        <v>3330</v>
      </c>
      <c r="N46" s="26">
        <v>854</v>
      </c>
      <c r="O46" s="37">
        <f>44.4+599</f>
        <v>643.4</v>
      </c>
      <c r="P46" s="16">
        <v>75</v>
      </c>
      <c r="Q46" s="16"/>
      <c r="R46" s="17"/>
      <c r="S46" s="18"/>
      <c r="T46" s="19"/>
      <c r="U46" s="19"/>
      <c r="V46" s="20">
        <f t="shared" si="12"/>
        <v>123354.89914744539</v>
      </c>
      <c r="W46" s="22">
        <f t="shared" si="13"/>
        <v>475.71428571428572</v>
      </c>
      <c r="X46" s="23" t="e">
        <f>#REF!+#REF!+#REF!+#REF!</f>
        <v>#REF!</v>
      </c>
      <c r="Y46" s="21" t="e">
        <f t="shared" si="14"/>
        <v>#REF!</v>
      </c>
    </row>
    <row r="47" spans="1:25" s="22" customFormat="1" ht="18.75" customHeight="1" x14ac:dyDescent="0.25">
      <c r="A47" s="27">
        <v>40</v>
      </c>
      <c r="B47" s="12" t="s">
        <v>61</v>
      </c>
      <c r="C47" s="14">
        <f>'[1]Свод '!$J$40/1000</f>
        <v>4508.8782471876812</v>
      </c>
      <c r="D47" s="14">
        <f t="shared" si="2"/>
        <v>243.47942534813478</v>
      </c>
      <c r="E47" s="14">
        <f t="shared" si="3"/>
        <v>142.02966478641196</v>
      </c>
      <c r="F47" s="14">
        <f t="shared" si="4"/>
        <v>90.177564943753623</v>
      </c>
      <c r="G47" s="15">
        <f>'[4]Свод '!$L$38</f>
        <v>80076.573047722355</v>
      </c>
      <c r="H47" s="15">
        <f t="shared" si="11"/>
        <v>6673.0477539768626</v>
      </c>
      <c r="I47" s="15">
        <f t="shared" si="6"/>
        <v>4324.1349445770074</v>
      </c>
      <c r="J47" s="15">
        <f t="shared" si="7"/>
        <v>3603.4457871475061</v>
      </c>
      <c r="K47" s="15">
        <f t="shared" si="8"/>
        <v>2402.2971914316704</v>
      </c>
      <c r="L47" s="15">
        <f t="shared" si="9"/>
        <v>97079.498724855395</v>
      </c>
      <c r="M47" s="25">
        <f>300*18.5</f>
        <v>5550</v>
      </c>
      <c r="N47" s="26">
        <v>1583</v>
      </c>
      <c r="O47" s="26">
        <f>44.4+208</f>
        <v>252.4</v>
      </c>
      <c r="P47" s="16">
        <v>150</v>
      </c>
      <c r="Q47" s="16"/>
      <c r="R47" s="17"/>
      <c r="S47" s="18"/>
      <c r="T47" s="19"/>
      <c r="U47" s="19"/>
      <c r="V47" s="20">
        <f t="shared" si="12"/>
        <v>104614.89872485539</v>
      </c>
      <c r="W47" s="22">
        <f t="shared" si="13"/>
        <v>792.85714285714289</v>
      </c>
      <c r="X47" s="23" t="e">
        <f>#REF!+#REF!+#REF!+#REF!</f>
        <v>#REF!</v>
      </c>
      <c r="Y47" s="21" t="e">
        <f t="shared" si="14"/>
        <v>#REF!</v>
      </c>
    </row>
    <row r="48" spans="1:25" s="22" customFormat="1" ht="19.5" customHeight="1" x14ac:dyDescent="0.25">
      <c r="A48" s="27">
        <v>41</v>
      </c>
      <c r="B48" s="12" t="s">
        <v>62</v>
      </c>
      <c r="C48" s="14">
        <f>'[1]Свод '!$J$53/1000</f>
        <v>3357.7147371766973</v>
      </c>
      <c r="D48" s="14">
        <f t="shared" si="2"/>
        <v>181.31659580754166</v>
      </c>
      <c r="E48" s="14">
        <f t="shared" si="3"/>
        <v>105.76801422106597</v>
      </c>
      <c r="F48" s="14">
        <f t="shared" si="4"/>
        <v>67.154294743533953</v>
      </c>
      <c r="G48" s="15">
        <f>'[4]Свод '!$L$49</f>
        <v>54723.970530171937</v>
      </c>
      <c r="H48" s="15">
        <f t="shared" si="11"/>
        <v>4560.3308775143278</v>
      </c>
      <c r="I48" s="15">
        <f t="shared" si="6"/>
        <v>2955.0944086292843</v>
      </c>
      <c r="J48" s="15">
        <f t="shared" si="7"/>
        <v>2462.5786738577372</v>
      </c>
      <c r="K48" s="15">
        <f t="shared" si="8"/>
        <v>1641.7191159051581</v>
      </c>
      <c r="L48" s="15">
        <f t="shared" si="9"/>
        <v>66343.69360607845</v>
      </c>
      <c r="M48" s="25">
        <f>70*18.5</f>
        <v>1295</v>
      </c>
      <c r="N48" s="26">
        <v>163</v>
      </c>
      <c r="O48" s="26">
        <f>22.2+1492</f>
        <v>1514.2</v>
      </c>
      <c r="P48" s="16">
        <v>75</v>
      </c>
      <c r="Q48" s="16"/>
      <c r="R48" s="17"/>
      <c r="S48" s="18"/>
      <c r="T48" s="19"/>
      <c r="U48" s="19"/>
      <c r="V48" s="20">
        <f t="shared" si="12"/>
        <v>69390.893606078447</v>
      </c>
      <c r="W48" s="22">
        <f t="shared" si="13"/>
        <v>185</v>
      </c>
      <c r="X48" s="23" t="e">
        <f>#REF!+#REF!+#REF!+#REF!</f>
        <v>#REF!</v>
      </c>
      <c r="Y48" s="21" t="e">
        <f t="shared" si="14"/>
        <v>#REF!</v>
      </c>
    </row>
    <row r="49" spans="1:26" s="22" customFormat="1" ht="15.75" customHeight="1" x14ac:dyDescent="0.25">
      <c r="A49" s="27">
        <v>42</v>
      </c>
      <c r="B49" s="12" t="s">
        <v>63</v>
      </c>
      <c r="C49" s="14">
        <f>'[1]Свод '!$J$48/1000</f>
        <v>3733.4605312137242</v>
      </c>
      <c r="D49" s="14">
        <f t="shared" si="2"/>
        <v>201.60686868554112</v>
      </c>
      <c r="E49" s="14">
        <f t="shared" si="3"/>
        <v>117.60400673323232</v>
      </c>
      <c r="F49" s="14">
        <f t="shared" si="4"/>
        <v>74.669210624274484</v>
      </c>
      <c r="G49" s="15">
        <f>'[4]Свод '!$L$55</f>
        <v>27839.881596890853</v>
      </c>
      <c r="H49" s="15">
        <f t="shared" si="11"/>
        <v>2319.9901330742377</v>
      </c>
      <c r="I49" s="15">
        <f t="shared" si="6"/>
        <v>1503.3536062321061</v>
      </c>
      <c r="J49" s="15">
        <f t="shared" si="7"/>
        <v>1252.7946718600886</v>
      </c>
      <c r="K49" s="15">
        <f t="shared" si="8"/>
        <v>835.19644790672555</v>
      </c>
      <c r="L49" s="15">
        <f t="shared" si="9"/>
        <v>33751.216455964008</v>
      </c>
      <c r="M49" s="25">
        <f>180*18.5</f>
        <v>3330</v>
      </c>
      <c r="N49" s="26">
        <v>1454</v>
      </c>
      <c r="O49" s="26">
        <f>44.4+420</f>
        <v>464.4</v>
      </c>
      <c r="P49" s="16">
        <v>62.5</v>
      </c>
      <c r="Q49" s="16"/>
      <c r="R49" s="17"/>
      <c r="S49" s="18"/>
      <c r="T49" s="19"/>
      <c r="U49" s="19"/>
      <c r="V49" s="20">
        <f t="shared" si="12"/>
        <v>39062.116455964009</v>
      </c>
      <c r="W49" s="22">
        <f t="shared" si="13"/>
        <v>475.71428571428572</v>
      </c>
      <c r="X49" s="23" t="e">
        <f>#REF!+#REF!+#REF!+#REF!</f>
        <v>#REF!</v>
      </c>
      <c r="Y49" s="21" t="e">
        <f t="shared" si="14"/>
        <v>#REF!</v>
      </c>
    </row>
    <row r="50" spans="1:26" s="22" customFormat="1" ht="18" customHeight="1" x14ac:dyDescent="0.25">
      <c r="A50" s="11">
        <v>43</v>
      </c>
      <c r="B50" s="12" t="s">
        <v>64</v>
      </c>
      <c r="C50" s="14">
        <f>'[1]Свод '!$J$51/1000</f>
        <v>5683.7802916720584</v>
      </c>
      <c r="D50" s="14">
        <f t="shared" si="2"/>
        <v>306.92413575029116</v>
      </c>
      <c r="E50" s="14">
        <f t="shared" si="3"/>
        <v>179.03907918766987</v>
      </c>
      <c r="F50" s="14">
        <f t="shared" si="4"/>
        <v>113.67560583344117</v>
      </c>
      <c r="G50" s="15">
        <f>'[4]Свод '!$L$47</f>
        <v>128920.77412773094</v>
      </c>
      <c r="H50" s="15">
        <f t="shared" si="11"/>
        <v>10743.397843977578</v>
      </c>
      <c r="I50" s="15">
        <f t="shared" si="6"/>
        <v>6961.7218028974703</v>
      </c>
      <c r="J50" s="15">
        <f t="shared" si="7"/>
        <v>5801.4348357478921</v>
      </c>
      <c r="K50" s="15">
        <f t="shared" si="8"/>
        <v>3867.623223831928</v>
      </c>
      <c r="L50" s="15">
        <f t="shared" si="9"/>
        <v>156294.95183418583</v>
      </c>
      <c r="M50" s="25">
        <f>200*18.5</f>
        <v>3700</v>
      </c>
      <c r="N50" s="160">
        <v>1438</v>
      </c>
      <c r="O50" s="26">
        <v>66.599999999999994</v>
      </c>
      <c r="P50" s="16">
        <v>187.5</v>
      </c>
      <c r="Q50" s="16">
        <v>160</v>
      </c>
      <c r="R50" s="17">
        <f>7300*295/1000</f>
        <v>2153.5</v>
      </c>
      <c r="S50" s="18"/>
      <c r="T50" s="19"/>
      <c r="U50" s="19"/>
      <c r="V50" s="20">
        <f t="shared" si="12"/>
        <v>164000.55183418584</v>
      </c>
      <c r="W50" s="22">
        <f t="shared" si="13"/>
        <v>528.57142857142856</v>
      </c>
      <c r="X50" s="23" t="e">
        <f>#REF!+#REF!+#REF!+#REF!</f>
        <v>#REF!</v>
      </c>
      <c r="Y50" s="21" t="e">
        <f t="shared" si="14"/>
        <v>#REF!</v>
      </c>
      <c r="Z50" s="22" t="s">
        <v>88</v>
      </c>
    </row>
    <row r="51" spans="1:26" s="22" customFormat="1" ht="15.75" customHeight="1" x14ac:dyDescent="0.25">
      <c r="A51" s="24">
        <v>44</v>
      </c>
      <c r="B51" s="12" t="s">
        <v>65</v>
      </c>
      <c r="C51" s="14">
        <f>'[1]Свод '!$J$52/1000</f>
        <v>3830.8684139168495</v>
      </c>
      <c r="D51" s="14">
        <f t="shared" si="2"/>
        <v>206.86689435150984</v>
      </c>
      <c r="E51" s="14">
        <f t="shared" si="3"/>
        <v>120.67235503838077</v>
      </c>
      <c r="F51" s="14">
        <f t="shared" si="4"/>
        <v>76.617368278336997</v>
      </c>
      <c r="G51" s="15">
        <f>'[4]Свод '!$L$48</f>
        <v>56983.384589554538</v>
      </c>
      <c r="H51" s="15">
        <f t="shared" si="11"/>
        <v>4748.6153824628782</v>
      </c>
      <c r="I51" s="15">
        <f t="shared" si="6"/>
        <v>3077.1027678359451</v>
      </c>
      <c r="J51" s="15">
        <f t="shared" si="7"/>
        <v>2564.2523065299542</v>
      </c>
      <c r="K51" s="15">
        <f t="shared" si="8"/>
        <v>1709.5015376866361</v>
      </c>
      <c r="L51" s="15">
        <f t="shared" si="9"/>
        <v>69082.856584069959</v>
      </c>
      <c r="M51" s="25">
        <f>225*18.5</f>
        <v>4162.5</v>
      </c>
      <c r="N51" s="26">
        <v>312</v>
      </c>
      <c r="O51" s="26">
        <f>44.4+280</f>
        <v>324.39999999999998</v>
      </c>
      <c r="P51" s="16">
        <v>125</v>
      </c>
      <c r="Q51" s="16"/>
      <c r="R51" s="17"/>
      <c r="S51" s="18"/>
      <c r="T51" s="19"/>
      <c r="U51" s="19"/>
      <c r="V51" s="20">
        <f t="shared" si="12"/>
        <v>74006.756584069954</v>
      </c>
      <c r="W51" s="22">
        <f t="shared" si="13"/>
        <v>594.64285714285711</v>
      </c>
      <c r="X51" s="23" t="e">
        <f>#REF!+#REF!+#REF!+#REF!</f>
        <v>#REF!</v>
      </c>
      <c r="Y51" s="21" t="e">
        <f t="shared" si="14"/>
        <v>#REF!</v>
      </c>
    </row>
    <row r="52" spans="1:26" s="22" customFormat="1" ht="15.75" customHeight="1" x14ac:dyDescent="0.25">
      <c r="A52" s="27">
        <v>45</v>
      </c>
      <c r="B52" s="12" t="s">
        <v>66</v>
      </c>
      <c r="C52" s="14">
        <f>'[1]Свод '!$J$55/1000</f>
        <v>4295.9332007964895</v>
      </c>
      <c r="D52" s="14">
        <f t="shared" si="2"/>
        <v>231.98039284301043</v>
      </c>
      <c r="E52" s="14">
        <f t="shared" si="3"/>
        <v>135.32189582508943</v>
      </c>
      <c r="F52" s="14">
        <f t="shared" si="4"/>
        <v>85.918664015929792</v>
      </c>
      <c r="G52" s="15">
        <f>'[4]Свод '!$L$50</f>
        <v>97234.382479418462</v>
      </c>
      <c r="H52" s="15">
        <f t="shared" si="11"/>
        <v>8102.8652066182049</v>
      </c>
      <c r="I52" s="15">
        <f t="shared" si="6"/>
        <v>5250.6566538885972</v>
      </c>
      <c r="J52" s="15">
        <f t="shared" si="7"/>
        <v>4375.5472115738312</v>
      </c>
      <c r="K52" s="15">
        <f t="shared" si="8"/>
        <v>2917.0314743825538</v>
      </c>
      <c r="L52" s="15">
        <f t="shared" si="9"/>
        <v>117880.48302588167</v>
      </c>
      <c r="M52" s="25">
        <f>130*18.5</f>
        <v>2405</v>
      </c>
      <c r="N52" s="26">
        <v>547</v>
      </c>
      <c r="O52" s="26">
        <v>22.2</v>
      </c>
      <c r="P52" s="16">
        <v>150</v>
      </c>
      <c r="Q52" s="16"/>
      <c r="R52" s="34">
        <f>2650*205/1000</f>
        <v>543.25</v>
      </c>
      <c r="S52" s="18"/>
      <c r="T52" s="19"/>
      <c r="U52" s="19"/>
      <c r="V52" s="20">
        <f t="shared" si="12"/>
        <v>121547.93302588166</v>
      </c>
      <c r="W52" s="22">
        <f t="shared" si="13"/>
        <v>343.57142857142856</v>
      </c>
      <c r="X52" s="23" t="e">
        <f>#REF!+#REF!+#REF!+#REF!</f>
        <v>#REF!</v>
      </c>
      <c r="Y52" s="21" t="e">
        <f t="shared" si="14"/>
        <v>#REF!</v>
      </c>
    </row>
    <row r="53" spans="1:26" s="22" customFormat="1" ht="15.75" customHeight="1" x14ac:dyDescent="0.25">
      <c r="A53" s="27">
        <v>46</v>
      </c>
      <c r="B53" s="12" t="s">
        <v>67</v>
      </c>
      <c r="C53" s="14">
        <f>'[1]Свод '!$J$56/1000</f>
        <v>3834.7523088121143</v>
      </c>
      <c r="D53" s="14">
        <f t="shared" si="2"/>
        <v>207.07662467585416</v>
      </c>
      <c r="E53" s="14">
        <f t="shared" si="3"/>
        <v>120.79469772758162</v>
      </c>
      <c r="F53" s="14">
        <f t="shared" si="4"/>
        <v>76.695046176242286</v>
      </c>
      <c r="G53" s="15">
        <f>'[4]Свод '!$L$51</f>
        <v>51646.323394326981</v>
      </c>
      <c r="H53" s="15">
        <f t="shared" si="11"/>
        <v>4303.8602828605817</v>
      </c>
      <c r="I53" s="15">
        <f t="shared" si="6"/>
        <v>2788.9014632936569</v>
      </c>
      <c r="J53" s="15">
        <f t="shared" si="7"/>
        <v>2324.0845527447141</v>
      </c>
      <c r="K53" s="15">
        <f t="shared" si="8"/>
        <v>1549.3897018298094</v>
      </c>
      <c r="L53" s="15">
        <f t="shared" si="9"/>
        <v>62612.559395055745</v>
      </c>
      <c r="M53" s="25">
        <f>40*18.5</f>
        <v>740</v>
      </c>
      <c r="N53" s="26">
        <v>271</v>
      </c>
      <c r="O53" s="26">
        <v>22.2</v>
      </c>
      <c r="P53" s="16">
        <v>62.5</v>
      </c>
      <c r="Q53" s="16"/>
      <c r="R53" s="17">
        <f>2000*205/1000</f>
        <v>410</v>
      </c>
      <c r="S53" s="18"/>
      <c r="T53" s="19"/>
      <c r="U53" s="19"/>
      <c r="V53" s="20">
        <f t="shared" si="12"/>
        <v>64118.259395055742</v>
      </c>
      <c r="W53" s="22">
        <f t="shared" si="13"/>
        <v>105.71428571428571</v>
      </c>
      <c r="X53" s="23" t="e">
        <f>#REF!+#REF!+#REF!+#REF!</f>
        <v>#REF!</v>
      </c>
      <c r="Y53" s="21" t="e">
        <f t="shared" si="14"/>
        <v>#REF!</v>
      </c>
    </row>
    <row r="54" spans="1:26" s="22" customFormat="1" ht="15.75" customHeight="1" x14ac:dyDescent="0.25">
      <c r="A54" s="27">
        <v>47</v>
      </c>
      <c r="B54" s="12" t="s">
        <v>68</v>
      </c>
      <c r="C54" s="14">
        <f>'[1]Свод '!$J$57/1000</f>
        <v>7420.7923418682676</v>
      </c>
      <c r="D54" s="14">
        <f t="shared" si="2"/>
        <v>400.72278646088643</v>
      </c>
      <c r="E54" s="14">
        <f t="shared" si="3"/>
        <v>233.75495876885043</v>
      </c>
      <c r="F54" s="14">
        <f t="shared" si="4"/>
        <v>148.41584683736536</v>
      </c>
      <c r="G54" s="15">
        <f>'[4]Свод '!$L$52</f>
        <v>137036.91362206254</v>
      </c>
      <c r="H54" s="15">
        <f t="shared" si="11"/>
        <v>11419.742801838545</v>
      </c>
      <c r="I54" s="15">
        <f t="shared" si="6"/>
        <v>7399.9933355913763</v>
      </c>
      <c r="J54" s="15">
        <f t="shared" si="7"/>
        <v>6166.6611129928142</v>
      </c>
      <c r="K54" s="15">
        <f t="shared" si="8"/>
        <v>4111.1074086618755</v>
      </c>
      <c r="L54" s="15">
        <f t="shared" si="9"/>
        <v>166134.41828114714</v>
      </c>
      <c r="M54" s="25">
        <f>280*18.5</f>
        <v>5180</v>
      </c>
      <c r="N54" s="26">
        <v>1239</v>
      </c>
      <c r="O54" s="26">
        <v>66.599999999999994</v>
      </c>
      <c r="P54" s="16">
        <v>150</v>
      </c>
      <c r="Q54" s="16">
        <v>145</v>
      </c>
      <c r="R54" s="17"/>
      <c r="S54" s="18"/>
      <c r="T54" s="19"/>
      <c r="U54" s="19"/>
      <c r="V54" s="20">
        <f t="shared" si="12"/>
        <v>172915.01828114715</v>
      </c>
      <c r="W54" s="22">
        <f t="shared" si="13"/>
        <v>740</v>
      </c>
      <c r="X54" s="23" t="e">
        <f>#REF!+#REF!+#REF!+#REF!</f>
        <v>#REF!</v>
      </c>
      <c r="Y54" s="21" t="e">
        <f t="shared" si="14"/>
        <v>#REF!</v>
      </c>
    </row>
    <row r="55" spans="1:26" s="22" customFormat="1" ht="15.75" customHeight="1" x14ac:dyDescent="0.25">
      <c r="A55" s="27">
        <v>48</v>
      </c>
      <c r="B55" s="12" t="s">
        <v>69</v>
      </c>
      <c r="C55" s="14">
        <f>'[1]Свод '!$J$58/1000</f>
        <v>3217.4119115719004</v>
      </c>
      <c r="D55" s="14">
        <f t="shared" si="2"/>
        <v>173.74024322488262</v>
      </c>
      <c r="E55" s="14">
        <f t="shared" si="3"/>
        <v>101.34847521451488</v>
      </c>
      <c r="F55" s="14">
        <f t="shared" si="4"/>
        <v>64.348238231438003</v>
      </c>
      <c r="G55" s="15">
        <f>'[4]Свод '!$L$53</f>
        <v>52836.383238378039</v>
      </c>
      <c r="H55" s="15">
        <f t="shared" si="11"/>
        <v>4403.0319365315036</v>
      </c>
      <c r="I55" s="15">
        <f t="shared" si="6"/>
        <v>2853.1646948724142</v>
      </c>
      <c r="J55" s="15">
        <f t="shared" si="7"/>
        <v>2377.6372457270118</v>
      </c>
      <c r="K55" s="15">
        <f t="shared" si="8"/>
        <v>1585.0914971513412</v>
      </c>
      <c r="L55" s="15">
        <f t="shared" si="9"/>
        <v>64055.308612660308</v>
      </c>
      <c r="M55" s="25">
        <f>80*18.5</f>
        <v>1480</v>
      </c>
      <c r="N55" s="26">
        <v>398</v>
      </c>
      <c r="O55" s="26"/>
      <c r="P55" s="16">
        <v>62.5</v>
      </c>
      <c r="Q55" s="16"/>
      <c r="R55" s="17"/>
      <c r="S55" s="18"/>
      <c r="T55" s="19"/>
      <c r="U55" s="19"/>
      <c r="V55" s="20">
        <f t="shared" si="12"/>
        <v>65995.808612660301</v>
      </c>
      <c r="W55" s="22">
        <f t="shared" si="13"/>
        <v>211.42857142857142</v>
      </c>
      <c r="X55" s="23" t="e">
        <f>#REF!+#REF!+#REF!+#REF!</f>
        <v>#REF!</v>
      </c>
      <c r="Y55" s="21" t="e">
        <f t="shared" si="14"/>
        <v>#REF!</v>
      </c>
    </row>
    <row r="56" spans="1:26" s="22" customFormat="1" ht="15.75" customHeight="1" x14ac:dyDescent="0.25">
      <c r="A56" s="27">
        <v>49</v>
      </c>
      <c r="B56" s="12" t="s">
        <v>85</v>
      </c>
      <c r="C56" s="39">
        <f>'[1]Свод '!$J$59/1000</f>
        <v>8821.5752963335181</v>
      </c>
      <c r="D56" s="14">
        <f t="shared" si="2"/>
        <v>476.36506600200994</v>
      </c>
      <c r="E56" s="14">
        <f t="shared" si="3"/>
        <v>277.87962183450583</v>
      </c>
      <c r="F56" s="14">
        <f t="shared" si="4"/>
        <v>176.43150592667035</v>
      </c>
      <c r="G56" s="15">
        <f>'[4]Свод '!$L$54</f>
        <v>161370.45913798903</v>
      </c>
      <c r="H56" s="15">
        <f t="shared" si="11"/>
        <v>13447.538261499087</v>
      </c>
      <c r="I56" s="15">
        <f t="shared" si="6"/>
        <v>8714.0047934514077</v>
      </c>
      <c r="J56" s="15">
        <f t="shared" si="7"/>
        <v>7261.6706612095068</v>
      </c>
      <c r="K56" s="15">
        <f t="shared" si="8"/>
        <v>4841.1137741396706</v>
      </c>
      <c r="L56" s="15">
        <f t="shared" si="9"/>
        <v>195634.78662828868</v>
      </c>
      <c r="M56" s="25">
        <f>200*18.5</f>
        <v>3700</v>
      </c>
      <c r="N56" s="26">
        <v>2280</v>
      </c>
      <c r="O56" s="26">
        <f>44.4+2026</f>
        <v>2070.4</v>
      </c>
      <c r="P56" s="16">
        <v>290</v>
      </c>
      <c r="Q56" s="16">
        <v>165</v>
      </c>
      <c r="R56" s="17">
        <f>3430*205/1000</f>
        <v>703.15</v>
      </c>
      <c r="S56" s="18"/>
      <c r="T56" s="19"/>
      <c r="U56" s="19"/>
      <c r="V56" s="20">
        <f t="shared" si="12"/>
        <v>204843.33662828867</v>
      </c>
      <c r="W56" s="22">
        <f t="shared" si="13"/>
        <v>528.57142857142856</v>
      </c>
      <c r="X56" s="23" t="e">
        <f>#REF!+#REF!+#REF!+#REF!</f>
        <v>#REF!</v>
      </c>
      <c r="Y56" s="21" t="e">
        <f t="shared" si="14"/>
        <v>#REF!</v>
      </c>
    </row>
    <row r="57" spans="1:26" s="22" customFormat="1" ht="15.75" customHeight="1" x14ac:dyDescent="0.25">
      <c r="A57" s="11">
        <v>50</v>
      </c>
      <c r="B57" s="12" t="s">
        <v>70</v>
      </c>
      <c r="C57" s="39">
        <f>'[1]Свод '!$J$61/1000</f>
        <v>1148.8544637297257</v>
      </c>
      <c r="D57" s="14">
        <f t="shared" si="2"/>
        <v>62.038141041405183</v>
      </c>
      <c r="E57" s="14">
        <f t="shared" si="3"/>
        <v>36.188915607486358</v>
      </c>
      <c r="F57" s="14">
        <f t="shared" si="4"/>
        <v>22.977089274594515</v>
      </c>
      <c r="G57" s="15">
        <f>'[4]Свод '!$L$57</f>
        <v>24853.461222108552</v>
      </c>
      <c r="H57" s="15">
        <f t="shared" si="11"/>
        <v>2071.121768509046</v>
      </c>
      <c r="I57" s="15">
        <f t="shared" si="6"/>
        <v>1342.0869059938616</v>
      </c>
      <c r="J57" s="15">
        <f t="shared" si="7"/>
        <v>1118.4057549948848</v>
      </c>
      <c r="K57" s="15">
        <f t="shared" si="8"/>
        <v>745.60383666325652</v>
      </c>
      <c r="L57" s="15">
        <f t="shared" si="9"/>
        <v>30130.679488269601</v>
      </c>
      <c r="M57" s="25">
        <f>30*18.5</f>
        <v>555</v>
      </c>
      <c r="N57" s="26">
        <v>59</v>
      </c>
      <c r="O57" s="26">
        <f>22.2+420</f>
        <v>442.2</v>
      </c>
      <c r="P57" s="16"/>
      <c r="Q57" s="16"/>
      <c r="R57" s="17"/>
      <c r="S57" s="18"/>
      <c r="T57" s="19"/>
      <c r="U57" s="19"/>
      <c r="V57" s="20">
        <f t="shared" si="12"/>
        <v>31186.879488269602</v>
      </c>
      <c r="W57" s="22">
        <f t="shared" si="13"/>
        <v>79.285714285714292</v>
      </c>
      <c r="X57" s="23" t="e">
        <f>#REF!+#REF!+#REF!+#REF!</f>
        <v>#REF!</v>
      </c>
      <c r="Y57" s="21" t="e">
        <f t="shared" si="14"/>
        <v>#REF!</v>
      </c>
    </row>
    <row r="58" spans="1:26" s="22" customFormat="1" ht="15.75" customHeight="1" x14ac:dyDescent="0.25">
      <c r="A58" s="24">
        <v>51</v>
      </c>
      <c r="B58" s="12" t="s">
        <v>71</v>
      </c>
      <c r="C58" s="39">
        <f>'[1]Свод '!$J$63/1000</f>
        <v>1032.8425298943091</v>
      </c>
      <c r="D58" s="14">
        <f t="shared" si="2"/>
        <v>55.773496614292689</v>
      </c>
      <c r="E58" s="14">
        <f t="shared" si="3"/>
        <v>32.534539691670737</v>
      </c>
      <c r="F58" s="14">
        <f t="shared" si="4"/>
        <v>20.656850597886184</v>
      </c>
      <c r="G58" s="15">
        <f>'[4]Свод '!$L$59</f>
        <v>23609.09994863523</v>
      </c>
      <c r="H58" s="15">
        <f t="shared" si="11"/>
        <v>1967.4249957196025</v>
      </c>
      <c r="I58" s="15">
        <f t="shared" si="6"/>
        <v>1274.8913972263024</v>
      </c>
      <c r="J58" s="15">
        <f t="shared" si="7"/>
        <v>1062.4094976885854</v>
      </c>
      <c r="K58" s="15">
        <f t="shared" si="8"/>
        <v>708.27299845905691</v>
      </c>
      <c r="L58" s="15">
        <f t="shared" si="9"/>
        <v>28622.098837728779</v>
      </c>
      <c r="M58" s="25">
        <f>30*18.5</f>
        <v>555</v>
      </c>
      <c r="N58" s="26">
        <v>179</v>
      </c>
      <c r="O58" s="26">
        <v>22.2</v>
      </c>
      <c r="P58" s="16">
        <v>12.5</v>
      </c>
      <c r="Q58" s="16"/>
      <c r="R58" s="17"/>
      <c r="S58" s="18"/>
      <c r="T58" s="19"/>
      <c r="U58" s="19"/>
      <c r="V58" s="20">
        <f t="shared" si="12"/>
        <v>29390.79883772878</v>
      </c>
      <c r="W58" s="22">
        <f t="shared" si="13"/>
        <v>79.285714285714292</v>
      </c>
      <c r="X58" s="23" t="e">
        <f>#REF!+#REF!+#REF!+#REF!</f>
        <v>#REF!</v>
      </c>
      <c r="Y58" s="21" t="e">
        <f t="shared" si="14"/>
        <v>#REF!</v>
      </c>
    </row>
    <row r="59" spans="1:26" s="22" customFormat="1" ht="15.75" customHeight="1" x14ac:dyDescent="0.25">
      <c r="A59" s="27">
        <v>52</v>
      </c>
      <c r="B59" s="12" t="s">
        <v>72</v>
      </c>
      <c r="C59" s="14">
        <f>'[1]Свод '!$J$62/1000</f>
        <v>1161.6303581651423</v>
      </c>
      <c r="D59" s="14">
        <f t="shared" si="2"/>
        <v>62.72803934091769</v>
      </c>
      <c r="E59" s="14">
        <f t="shared" si="3"/>
        <v>36.591356282201986</v>
      </c>
      <c r="F59" s="14">
        <f t="shared" si="4"/>
        <v>23.232607163302845</v>
      </c>
      <c r="G59" s="15">
        <f>'[4]Свод '!$L$58</f>
        <v>26829.323020910382</v>
      </c>
      <c r="H59" s="15">
        <f t="shared" si="11"/>
        <v>2235.7769184091985</v>
      </c>
      <c r="I59" s="15">
        <f t="shared" si="6"/>
        <v>1448.7834431291606</v>
      </c>
      <c r="J59" s="15">
        <f t="shared" si="7"/>
        <v>1207.3195359409672</v>
      </c>
      <c r="K59" s="15">
        <f t="shared" si="8"/>
        <v>804.87969062731145</v>
      </c>
      <c r="L59" s="15">
        <f t="shared" si="9"/>
        <v>32526.082609017019</v>
      </c>
      <c r="M59" s="25">
        <f>120*18.5</f>
        <v>2220</v>
      </c>
      <c r="N59" s="26">
        <v>421</v>
      </c>
      <c r="O59" s="26">
        <f>22.2+420</f>
        <v>442.2</v>
      </c>
      <c r="P59" s="16">
        <v>62.5</v>
      </c>
      <c r="Q59" s="16"/>
      <c r="R59" s="17"/>
      <c r="S59" s="18"/>
      <c r="T59" s="19"/>
      <c r="U59" s="19"/>
      <c r="V59" s="20">
        <f t="shared" si="12"/>
        <v>35671.782609017013</v>
      </c>
      <c r="W59" s="22">
        <f t="shared" si="13"/>
        <v>317.14285714285717</v>
      </c>
      <c r="X59" s="23" t="e">
        <f>#REF!+#REF!+#REF!+#REF!</f>
        <v>#REF!</v>
      </c>
      <c r="Y59" s="21" t="e">
        <f t="shared" si="14"/>
        <v>#REF!</v>
      </c>
    </row>
    <row r="60" spans="1:26" s="22" customFormat="1" ht="15.75" customHeight="1" x14ac:dyDescent="0.25">
      <c r="A60" s="27">
        <v>53</v>
      </c>
      <c r="B60" s="12" t="s">
        <v>73</v>
      </c>
      <c r="C60" s="39">
        <f>'[1]Свод '!$J$67/1000</f>
        <v>1292.3081337484759</v>
      </c>
      <c r="D60" s="14">
        <f t="shared" si="2"/>
        <v>69.784639222417695</v>
      </c>
      <c r="E60" s="14">
        <f t="shared" si="3"/>
        <v>40.707706213076996</v>
      </c>
      <c r="F60" s="14">
        <f t="shared" si="4"/>
        <v>25.84616267496952</v>
      </c>
      <c r="G60" s="15">
        <f>'[4]Свод '!$L$62</f>
        <v>19210.720750510231</v>
      </c>
      <c r="H60" s="15">
        <f t="shared" si="11"/>
        <v>1600.8933958758525</v>
      </c>
      <c r="I60" s="15">
        <f t="shared" si="6"/>
        <v>1037.3789205275525</v>
      </c>
      <c r="J60" s="15">
        <f t="shared" si="7"/>
        <v>864.48243377296046</v>
      </c>
      <c r="K60" s="15">
        <f t="shared" si="8"/>
        <v>576.3216225153069</v>
      </c>
      <c r="L60" s="15">
        <f t="shared" si="9"/>
        <v>23289.797123201904</v>
      </c>
      <c r="M60" s="25">
        <f>70*18.5</f>
        <v>1295</v>
      </c>
      <c r="N60" s="26">
        <v>160</v>
      </c>
      <c r="O60" s="26"/>
      <c r="P60" s="16"/>
      <c r="Q60" s="16"/>
      <c r="R60" s="17"/>
      <c r="S60" s="18"/>
      <c r="T60" s="19"/>
      <c r="U60" s="19"/>
      <c r="V60" s="20">
        <f t="shared" si="12"/>
        <v>24744.797123201904</v>
      </c>
      <c r="W60" s="22">
        <f t="shared" si="13"/>
        <v>185</v>
      </c>
      <c r="X60" s="23" t="e">
        <f>#REF!+#REF!+#REF!+#REF!</f>
        <v>#REF!</v>
      </c>
      <c r="Y60" s="21" t="e">
        <f t="shared" si="14"/>
        <v>#REF!</v>
      </c>
    </row>
    <row r="61" spans="1:26" s="22" customFormat="1" ht="15.75" customHeight="1" x14ac:dyDescent="0.25">
      <c r="A61" s="27">
        <v>54</v>
      </c>
      <c r="B61" s="12" t="s">
        <v>74</v>
      </c>
      <c r="C61" s="14">
        <f>'[1]Свод '!$J$64/1000</f>
        <v>869.21372860378051</v>
      </c>
      <c r="D61" s="14">
        <f t="shared" si="2"/>
        <v>46.937541344604149</v>
      </c>
      <c r="E61" s="14">
        <f t="shared" si="3"/>
        <v>27.38023245101909</v>
      </c>
      <c r="F61" s="14">
        <f t="shared" si="4"/>
        <v>17.384274572075611</v>
      </c>
      <c r="G61" s="15">
        <f>'[4]Свод '!$L$60</f>
        <v>19258.974386166476</v>
      </c>
      <c r="H61" s="15">
        <f t="shared" si="11"/>
        <v>1604.9145321805397</v>
      </c>
      <c r="I61" s="15">
        <f t="shared" si="6"/>
        <v>1039.9846168529896</v>
      </c>
      <c r="J61" s="15">
        <f t="shared" si="7"/>
        <v>866.65384737749139</v>
      </c>
      <c r="K61" s="15">
        <f t="shared" si="8"/>
        <v>577.76923158499426</v>
      </c>
      <c r="L61" s="15">
        <f t="shared" si="9"/>
        <v>23348.296614162493</v>
      </c>
      <c r="M61" s="25">
        <f>[3]Лист2!$AC$61</f>
        <v>1309.5039999999997</v>
      </c>
      <c r="N61" s="26">
        <v>97</v>
      </c>
      <c r="O61" s="26">
        <v>22.2</v>
      </c>
      <c r="P61" s="16">
        <v>12.5</v>
      </c>
      <c r="Q61" s="16"/>
      <c r="R61" s="17"/>
      <c r="S61" s="18"/>
      <c r="T61" s="19"/>
      <c r="U61" s="19"/>
      <c r="V61" s="20">
        <f t="shared" si="12"/>
        <v>24789.500614162494</v>
      </c>
      <c r="W61" s="22">
        <f t="shared" si="13"/>
        <v>187.07199999999995</v>
      </c>
      <c r="X61" s="23" t="e">
        <f>#REF!+#REF!+#REF!+#REF!</f>
        <v>#REF!</v>
      </c>
      <c r="Y61" s="21" t="e">
        <f t="shared" si="14"/>
        <v>#REF!</v>
      </c>
    </row>
    <row r="62" spans="1:26" s="22" customFormat="1" ht="15.75" customHeight="1" x14ac:dyDescent="0.25">
      <c r="A62" s="27">
        <v>55</v>
      </c>
      <c r="B62" s="12" t="s">
        <v>75</v>
      </c>
      <c r="C62" s="39">
        <f>'[1]Свод '!$J$65/1000</f>
        <v>1154.8102987829473</v>
      </c>
      <c r="D62" s="14">
        <f t="shared" si="2"/>
        <v>62.359756134279145</v>
      </c>
      <c r="E62" s="14">
        <f t="shared" si="3"/>
        <v>36.376524411662842</v>
      </c>
      <c r="F62" s="14">
        <f t="shared" si="4"/>
        <v>23.096205975658947</v>
      </c>
      <c r="G62" s="15">
        <f>'[4]Свод '!$L$61</f>
        <v>21191.194785666481</v>
      </c>
      <c r="H62" s="15">
        <f t="shared" si="11"/>
        <v>1765.9328988055402</v>
      </c>
      <c r="I62" s="15">
        <f t="shared" si="6"/>
        <v>1144.3245184259899</v>
      </c>
      <c r="J62" s="15">
        <f t="shared" si="7"/>
        <v>953.60376535499165</v>
      </c>
      <c r="K62" s="15">
        <f t="shared" si="8"/>
        <v>635.73584356999436</v>
      </c>
      <c r="L62" s="15">
        <f t="shared" si="9"/>
        <v>25690.791811822994</v>
      </c>
      <c r="M62" s="25">
        <f>50*18.5</f>
        <v>925</v>
      </c>
      <c r="N62" s="26">
        <v>104</v>
      </c>
      <c r="O62" s="26"/>
      <c r="P62" s="16">
        <v>62.5</v>
      </c>
      <c r="Q62" s="16"/>
      <c r="R62" s="17"/>
      <c r="S62" s="18"/>
      <c r="T62" s="19"/>
      <c r="U62" s="19"/>
      <c r="V62" s="20">
        <f t="shared" si="12"/>
        <v>26782.291811822994</v>
      </c>
      <c r="W62" s="22">
        <f t="shared" si="13"/>
        <v>132.14285714285714</v>
      </c>
      <c r="X62" s="23" t="e">
        <f>#REF!+#REF!+#REF!+#REF!</f>
        <v>#REF!</v>
      </c>
      <c r="Y62" s="21" t="e">
        <f t="shared" si="14"/>
        <v>#REF!</v>
      </c>
    </row>
    <row r="63" spans="1:26" s="22" customFormat="1" ht="18.75" customHeight="1" x14ac:dyDescent="0.25">
      <c r="A63" s="11">
        <v>56</v>
      </c>
      <c r="B63" s="12" t="s">
        <v>76</v>
      </c>
      <c r="C63" s="14">
        <f>'[1]Свод '!$J$60/1000</f>
        <v>1565.6191166996141</v>
      </c>
      <c r="D63" s="14">
        <f t="shared" si="2"/>
        <v>84.543432301779163</v>
      </c>
      <c r="E63" s="14">
        <f t="shared" si="3"/>
        <v>49.317002176037853</v>
      </c>
      <c r="F63" s="14">
        <f t="shared" si="4"/>
        <v>31.312382333992282</v>
      </c>
      <c r="G63" s="15">
        <f>'[4]Свод '!$L$56</f>
        <v>31721.913872132929</v>
      </c>
      <c r="H63" s="15">
        <f t="shared" si="11"/>
        <v>2643.4928226777442</v>
      </c>
      <c r="I63" s="15">
        <f t="shared" si="6"/>
        <v>1712.983349095178</v>
      </c>
      <c r="J63" s="15">
        <f t="shared" si="7"/>
        <v>1427.486124245982</v>
      </c>
      <c r="K63" s="15">
        <f t="shared" si="8"/>
        <v>951.65741616398782</v>
      </c>
      <c r="L63" s="15">
        <f t="shared" si="9"/>
        <v>38457.533584315817</v>
      </c>
      <c r="M63" s="25">
        <f>50*18.5</f>
        <v>925</v>
      </c>
      <c r="N63" s="26">
        <v>70</v>
      </c>
      <c r="O63" s="26">
        <f>44.4+628</f>
        <v>672.4</v>
      </c>
      <c r="P63" s="16">
        <v>75</v>
      </c>
      <c r="Q63" s="16">
        <v>145</v>
      </c>
      <c r="R63" s="17"/>
      <c r="S63" s="18"/>
      <c r="T63" s="19"/>
      <c r="U63" s="19"/>
      <c r="V63" s="20">
        <f t="shared" si="12"/>
        <v>40344.933584315819</v>
      </c>
      <c r="W63" s="22">
        <f t="shared" si="13"/>
        <v>132.14285714285714</v>
      </c>
      <c r="X63" s="23" t="e">
        <f>#REF!+#REF!+#REF!+#REF!</f>
        <v>#REF!</v>
      </c>
      <c r="Y63" s="21" t="e">
        <f t="shared" si="14"/>
        <v>#REF!</v>
      </c>
    </row>
    <row r="64" spans="1:26" s="22" customFormat="1" ht="19.5" customHeight="1" x14ac:dyDescent="0.25">
      <c r="A64" s="24">
        <v>57</v>
      </c>
      <c r="B64" s="40" t="s">
        <v>78</v>
      </c>
      <c r="C64" s="14">
        <f>'[1]Свод '!$J$69/1000</f>
        <v>4058.4899515520833</v>
      </c>
      <c r="D64" s="14">
        <f t="shared" si="2"/>
        <v>219.1584573838125</v>
      </c>
      <c r="E64" s="14">
        <f t="shared" si="3"/>
        <v>127.84243347389064</v>
      </c>
      <c r="F64" s="14">
        <f t="shared" si="4"/>
        <v>81.169799031041663</v>
      </c>
      <c r="G64" s="15">
        <f>'[4]Свод '!$L$63</f>
        <v>77129.72253600003</v>
      </c>
      <c r="H64" s="15">
        <f t="shared" si="11"/>
        <v>6427.4768780000022</v>
      </c>
      <c r="I64" s="15">
        <f t="shared" si="6"/>
        <v>4165.005016944001</v>
      </c>
      <c r="J64" s="15">
        <f t="shared" si="7"/>
        <v>3470.8375141200013</v>
      </c>
      <c r="K64" s="15">
        <f t="shared" si="8"/>
        <v>2313.8916760800007</v>
      </c>
      <c r="L64" s="15">
        <f t="shared" si="9"/>
        <v>93506.933621144053</v>
      </c>
      <c r="M64" s="25"/>
      <c r="N64" s="26"/>
      <c r="O64" s="26"/>
      <c r="P64" s="16"/>
      <c r="Q64" s="16"/>
      <c r="R64" s="17"/>
      <c r="S64" s="18"/>
      <c r="T64" s="19"/>
      <c r="U64" s="19"/>
      <c r="V64" s="20">
        <f>L64+M64+N64+O64+P64+S64+R64+T64+U64+Q64</f>
        <v>93506.933621144053</v>
      </c>
      <c r="W64" s="22">
        <f t="shared" si="13"/>
        <v>0</v>
      </c>
      <c r="X64" s="23" t="e">
        <f>#REF!+#REF!+#REF!+#REF!</f>
        <v>#REF!</v>
      </c>
      <c r="Y64" s="21" t="e">
        <f t="shared" si="14"/>
        <v>#REF!</v>
      </c>
    </row>
    <row r="65" spans="1:25" s="42" customFormat="1" ht="27" customHeight="1" x14ac:dyDescent="0.25">
      <c r="A65" s="128" t="s">
        <v>79</v>
      </c>
      <c r="B65" s="129"/>
      <c r="C65" s="41">
        <f>SUM(C8:C64)</f>
        <v>412978.54931390949</v>
      </c>
      <c r="D65" s="14">
        <f>(C65-C65*10%)*6%</f>
        <v>22300.841662951112</v>
      </c>
      <c r="E65" s="14">
        <f>(C65-C65*10%)*3.5%</f>
        <v>13008.82430338815</v>
      </c>
      <c r="F65" s="14">
        <f>C65*2%</f>
        <v>8259.5709862781896</v>
      </c>
      <c r="G65" s="96">
        <f>SUM(G8:G64)</f>
        <v>7596868.9919145396</v>
      </c>
      <c r="H65" s="82"/>
      <c r="I65" s="96">
        <f>SUM(I8:I64)</f>
        <v>410230.92556338519</v>
      </c>
      <c r="J65" s="96">
        <f>SUM(J8:J64)</f>
        <v>341859.1046361542</v>
      </c>
      <c r="K65" s="96">
        <f>SUM(K8:K64)</f>
        <v>227906.06975743617</v>
      </c>
      <c r="L65" s="82">
        <f>G65+I65+J65+K65+H65</f>
        <v>8576865.0918715149</v>
      </c>
      <c r="M65" s="96">
        <f t="shared" ref="M65:U65" si="15">SUM(M8:M64)</f>
        <v>241477.56400000001</v>
      </c>
      <c r="N65" s="96">
        <f t="shared" si="15"/>
        <v>81895</v>
      </c>
      <c r="O65" s="96">
        <f t="shared" si="15"/>
        <v>62611.199999999983</v>
      </c>
      <c r="P65" s="96">
        <f t="shared" si="15"/>
        <v>6981</v>
      </c>
      <c r="Q65" s="96">
        <f t="shared" si="15"/>
        <v>2723</v>
      </c>
      <c r="R65" s="96">
        <f>SUM(R8:R64)</f>
        <v>24877.200000000001</v>
      </c>
      <c r="S65" s="96">
        <f t="shared" si="15"/>
        <v>0</v>
      </c>
      <c r="T65" s="96">
        <f t="shared" si="15"/>
        <v>0</v>
      </c>
      <c r="U65" s="96">
        <f t="shared" si="15"/>
        <v>0</v>
      </c>
      <c r="V65" s="76">
        <f>L65+M65+N65+O65+P65+S65+R65+T65+U65+Q65</f>
        <v>8997430.0558715127</v>
      </c>
      <c r="X65" s="23" t="e">
        <f>#REF!+#REF!+#REF!+#REF!</f>
        <v>#REF!</v>
      </c>
      <c r="Y65" s="43"/>
    </row>
    <row r="66" spans="1:25" s="22" customFormat="1" ht="19.5" customHeight="1" x14ac:dyDescent="0.25">
      <c r="A66" s="99"/>
      <c r="B66" s="99"/>
      <c r="C66" s="100"/>
      <c r="D66" s="100"/>
      <c r="E66" s="100"/>
      <c r="F66" s="100"/>
      <c r="G66" s="101"/>
      <c r="H66" s="101"/>
      <c r="I66" s="101"/>
      <c r="J66" s="101"/>
      <c r="K66" s="101"/>
      <c r="L66" s="101"/>
      <c r="M66" s="102"/>
      <c r="N66" s="102"/>
      <c r="O66" s="103"/>
      <c r="P66" s="104"/>
      <c r="Q66" s="104"/>
      <c r="R66" s="103"/>
      <c r="S66" s="103"/>
      <c r="T66" s="103"/>
      <c r="U66" s="103"/>
      <c r="V66" s="105" t="s">
        <v>80</v>
      </c>
    </row>
    <row r="67" spans="1:25" ht="18.75" x14ac:dyDescent="0.3">
      <c r="A67" s="47"/>
      <c r="B67" s="48"/>
      <c r="C67" s="49"/>
      <c r="D67" s="49"/>
      <c r="E67" s="49"/>
      <c r="F67" s="49"/>
      <c r="G67" s="143"/>
      <c r="H67" s="143"/>
      <c r="I67" s="50"/>
      <c r="J67" s="50"/>
      <c r="K67" s="50"/>
      <c r="L67" s="44"/>
      <c r="M67" s="44"/>
      <c r="N67" s="44"/>
      <c r="O67" s="45"/>
      <c r="P67" s="45"/>
      <c r="Q67" s="45"/>
      <c r="R67" s="45"/>
      <c r="S67" s="45"/>
      <c r="T67" s="45"/>
      <c r="U67" s="45"/>
      <c r="V67" s="46"/>
    </row>
    <row r="68" spans="1:25" ht="18.75" x14ac:dyDescent="0.3">
      <c r="A68" s="47"/>
      <c r="B68" s="161" t="s">
        <v>92</v>
      </c>
      <c r="C68" s="162"/>
      <c r="D68" s="162"/>
      <c r="E68" s="162"/>
      <c r="F68" s="162"/>
      <c r="G68" s="163" t="s">
        <v>91</v>
      </c>
      <c r="H68" s="163"/>
      <c r="I68" s="161" t="s">
        <v>82</v>
      </c>
      <c r="J68" s="118"/>
      <c r="K68" s="118"/>
      <c r="L68" s="44"/>
      <c r="M68" s="44"/>
      <c r="N68" s="45"/>
      <c r="O68" s="44"/>
      <c r="P68" s="44"/>
      <c r="Q68" s="44"/>
      <c r="R68" s="45"/>
      <c r="S68" s="45"/>
      <c r="T68" s="45"/>
      <c r="U68" s="45"/>
      <c r="V68" s="46"/>
    </row>
    <row r="69" spans="1:25" ht="15.75" x14ac:dyDescent="0.25">
      <c r="A69" s="51"/>
      <c r="B69" s="52"/>
      <c r="C69" s="53"/>
      <c r="D69" s="53"/>
      <c r="E69" s="53"/>
      <c r="F69" s="53"/>
      <c r="G69" s="54"/>
      <c r="H69" s="54"/>
      <c r="I69" s="54"/>
      <c r="J69" s="54"/>
      <c r="K69" s="54"/>
      <c r="L69" s="54"/>
      <c r="M69" s="54"/>
      <c r="N69" s="44"/>
      <c r="O69" s="45"/>
      <c r="P69" s="45"/>
      <c r="Q69" s="45"/>
      <c r="R69" s="45"/>
      <c r="S69" s="45"/>
      <c r="T69" s="45"/>
      <c r="U69" s="45"/>
      <c r="V69" s="46"/>
    </row>
    <row r="70" spans="1:25" ht="15.75" x14ac:dyDescent="0.25">
      <c r="A70" s="51"/>
      <c r="B70" s="52"/>
      <c r="C70" s="53"/>
      <c r="D70" s="53"/>
      <c r="E70" s="53"/>
      <c r="F70" s="53"/>
      <c r="G70" s="54"/>
      <c r="H70" s="54"/>
      <c r="I70" s="54"/>
      <c r="J70" s="54"/>
      <c r="K70" s="54"/>
      <c r="L70" s="54"/>
      <c r="M70" s="54"/>
      <c r="N70" s="45"/>
      <c r="O70" s="45"/>
      <c r="P70" s="45"/>
      <c r="Q70" s="45"/>
      <c r="R70" s="45"/>
      <c r="S70" s="45"/>
      <c r="T70" s="45"/>
      <c r="U70" s="45"/>
      <c r="V70" s="46"/>
    </row>
    <row r="71" spans="1:25" ht="15.75" x14ac:dyDescent="0.25">
      <c r="A71" s="51"/>
      <c r="B71" s="51"/>
      <c r="C71" s="55"/>
      <c r="D71" s="55"/>
      <c r="E71" s="55"/>
      <c r="F71" s="55"/>
      <c r="G71" s="44"/>
      <c r="H71" s="44"/>
      <c r="I71" s="44"/>
      <c r="J71" s="44"/>
      <c r="K71" s="44"/>
      <c r="L71" s="44"/>
      <c r="M71" s="44"/>
      <c r="N71" s="44"/>
      <c r="O71" s="45"/>
      <c r="P71" s="45"/>
      <c r="Q71" s="45"/>
      <c r="R71" s="45"/>
      <c r="S71" s="45"/>
      <c r="T71" s="45"/>
      <c r="U71" s="45"/>
      <c r="V71" s="46"/>
    </row>
    <row r="72" spans="1:25" x14ac:dyDescent="0.25">
      <c r="N72" s="57"/>
    </row>
    <row r="73" spans="1:25" x14ac:dyDescent="0.25">
      <c r="N73" s="57"/>
    </row>
  </sheetData>
  <mergeCells count="16">
    <mergeCell ref="G67:H67"/>
    <mergeCell ref="B4:J4"/>
    <mergeCell ref="D6:F6"/>
    <mergeCell ref="I6:K6"/>
    <mergeCell ref="T3:T7"/>
    <mergeCell ref="U3:U7"/>
    <mergeCell ref="V3:V7"/>
    <mergeCell ref="S3:S7"/>
    <mergeCell ref="A65:B65"/>
    <mergeCell ref="B1:K1"/>
    <mergeCell ref="B2:P2"/>
    <mergeCell ref="I3:K3"/>
    <mergeCell ref="L3:L7"/>
    <mergeCell ref="M3:R3"/>
    <mergeCell ref="M6:Q6"/>
    <mergeCell ref="R6:R7"/>
  </mergeCells>
  <pageMargins left="0.11811023622047245" right="0" top="0.15748031496062992" bottom="0.35433070866141736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19"/>
  <sheetViews>
    <sheetView workbookViewId="0">
      <selection activeCell="O19" sqref="O19"/>
    </sheetView>
  </sheetViews>
  <sheetFormatPr defaultRowHeight="15" x14ac:dyDescent="0.25"/>
  <cols>
    <col min="1" max="1" width="5.140625" customWidth="1"/>
    <col min="2" max="2" width="4.5703125" customWidth="1"/>
    <col min="3" max="3" width="24.140625" customWidth="1"/>
    <col min="4" max="4" width="15.7109375" style="56" hidden="1" customWidth="1"/>
    <col min="5" max="5" width="12.7109375" style="56" hidden="1" customWidth="1"/>
    <col min="6" max="6" width="10.5703125" style="56" hidden="1" customWidth="1"/>
    <col min="7" max="7" width="11.42578125" style="56" hidden="1" customWidth="1"/>
    <col min="8" max="8" width="13.7109375" style="57" customWidth="1"/>
    <col min="9" max="9" width="10.42578125" style="57" customWidth="1"/>
    <col min="10" max="10" width="10.5703125" style="57" customWidth="1"/>
    <col min="11" max="11" width="10.140625" style="57" customWidth="1"/>
    <col min="12" max="12" width="11.28515625" style="57" customWidth="1"/>
    <col min="13" max="13" width="13.140625" style="57" customWidth="1"/>
    <col min="14" max="14" width="15.7109375" style="57" hidden="1" customWidth="1"/>
    <col min="15" max="15" width="12.140625" style="58" customWidth="1"/>
    <col min="16" max="16" width="12.28515625" style="58" customWidth="1"/>
    <col min="17" max="17" width="10.5703125" style="58" hidden="1" customWidth="1"/>
    <col min="18" max="18" width="9.42578125" style="58" customWidth="1"/>
    <col min="19" max="19" width="11.85546875" style="58" customWidth="1"/>
    <col min="20" max="20" width="11" style="58" hidden="1" customWidth="1"/>
    <col min="21" max="22" width="10.7109375" style="58" hidden="1" customWidth="1"/>
    <col min="23" max="23" width="13.28515625" style="4" customWidth="1"/>
    <col min="24" max="24" width="13" customWidth="1"/>
    <col min="25" max="25" width="9.140625" hidden="1" customWidth="1"/>
    <col min="26" max="26" width="11.5703125" customWidth="1"/>
    <col min="27" max="27" width="12" customWidth="1"/>
    <col min="28" max="28" width="13.85546875" customWidth="1"/>
    <col min="29" max="29" width="0.140625" customWidth="1"/>
    <col min="30" max="30" width="11.42578125" hidden="1" customWidth="1"/>
    <col min="31" max="31" width="12.140625" hidden="1" customWidth="1"/>
  </cols>
  <sheetData>
    <row r="3" spans="2:32" ht="20.25" x14ac:dyDescent="0.3">
      <c r="B3" s="1"/>
      <c r="C3" s="65" t="s">
        <v>89</v>
      </c>
      <c r="D3" s="65"/>
      <c r="E3" s="65"/>
      <c r="F3" s="65"/>
      <c r="G3" s="65"/>
      <c r="H3" s="65"/>
      <c r="I3" s="65"/>
      <c r="J3" s="65"/>
      <c r="K3" s="65"/>
      <c r="L3" s="65"/>
      <c r="M3" s="2"/>
      <c r="N3" s="3"/>
      <c r="O3" s="2"/>
      <c r="P3" s="2"/>
      <c r="Q3" s="2"/>
      <c r="R3" s="2"/>
      <c r="S3" s="2"/>
      <c r="T3" s="2"/>
      <c r="U3" s="2"/>
      <c r="V3" s="2"/>
      <c r="W3" s="66"/>
      <c r="X3" s="67"/>
      <c r="Y3" s="67"/>
      <c r="Z3" s="67"/>
      <c r="AA3" s="67"/>
      <c r="AB3" s="67"/>
      <c r="AC3" s="67"/>
      <c r="AD3" s="67"/>
      <c r="AE3" s="67"/>
      <c r="AF3" s="67"/>
    </row>
    <row r="4" spans="2:32" ht="20.25" x14ac:dyDescent="0.3">
      <c r="B4" s="1"/>
      <c r="C4" s="65"/>
      <c r="D4" s="65"/>
      <c r="E4" s="65"/>
      <c r="F4" s="65"/>
      <c r="G4" s="65"/>
      <c r="H4" s="65"/>
      <c r="I4" s="65"/>
      <c r="J4" s="65"/>
      <c r="K4" s="65"/>
      <c r="L4" s="65"/>
      <c r="M4" s="2"/>
      <c r="N4" s="3"/>
      <c r="O4" s="2"/>
      <c r="P4" s="2"/>
      <c r="Q4" s="2"/>
      <c r="R4" s="2"/>
      <c r="S4" s="2"/>
      <c r="T4" s="2"/>
      <c r="U4" s="2"/>
      <c r="V4" s="2"/>
      <c r="W4" s="66"/>
      <c r="X4" s="67"/>
      <c r="Y4" s="67"/>
      <c r="Z4" s="67"/>
      <c r="AA4" s="67"/>
      <c r="AB4" s="67"/>
      <c r="AC4" s="67"/>
      <c r="AD4" s="67"/>
      <c r="AE4" s="67"/>
      <c r="AF4" s="67"/>
    </row>
    <row r="5" spans="2:32" ht="15.75" x14ac:dyDescent="0.25">
      <c r="B5" s="6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68"/>
      <c r="S5" s="69"/>
      <c r="T5" s="70"/>
      <c r="U5" s="70"/>
      <c r="V5" s="70"/>
      <c r="W5" s="71"/>
      <c r="X5" s="67"/>
      <c r="Y5" s="67"/>
      <c r="Z5" s="67"/>
      <c r="AA5" s="67"/>
      <c r="AB5" s="105" t="s">
        <v>80</v>
      </c>
      <c r="AC5" s="67"/>
      <c r="AD5" s="67"/>
      <c r="AE5" s="67"/>
      <c r="AF5" s="67"/>
    </row>
    <row r="6" spans="2:32" ht="17.25" customHeight="1" x14ac:dyDescent="0.25">
      <c r="B6" s="155" t="s">
        <v>0</v>
      </c>
      <c r="C6" s="148" t="s">
        <v>1</v>
      </c>
      <c r="D6" s="72"/>
      <c r="E6" s="72"/>
      <c r="F6" s="72"/>
      <c r="G6" s="72"/>
      <c r="H6" s="150" t="s">
        <v>2</v>
      </c>
      <c r="I6" s="133" t="s">
        <v>3</v>
      </c>
      <c r="J6" s="134"/>
      <c r="K6" s="134"/>
      <c r="L6" s="135"/>
      <c r="M6" s="146" t="s">
        <v>4</v>
      </c>
      <c r="N6" s="139" t="s">
        <v>5</v>
      </c>
      <c r="O6" s="139"/>
      <c r="P6" s="139"/>
      <c r="Q6" s="139"/>
      <c r="R6" s="139"/>
      <c r="S6" s="140"/>
      <c r="T6" s="125"/>
      <c r="U6" s="119"/>
      <c r="V6" s="119"/>
      <c r="W6" s="122" t="s">
        <v>6</v>
      </c>
      <c r="X6" s="154" t="s">
        <v>7</v>
      </c>
      <c r="Y6" s="109"/>
      <c r="Z6" s="154" t="s">
        <v>8</v>
      </c>
      <c r="AA6" s="154" t="s">
        <v>9</v>
      </c>
      <c r="AB6" s="154" t="s">
        <v>10</v>
      </c>
      <c r="AC6" s="67"/>
      <c r="AD6" s="67"/>
      <c r="AE6" s="67"/>
      <c r="AF6" s="67"/>
    </row>
    <row r="7" spans="2:32" ht="30" customHeight="1" x14ac:dyDescent="0.25">
      <c r="B7" s="156"/>
      <c r="C7" s="149"/>
      <c r="D7" s="75"/>
      <c r="E7" s="145" t="s">
        <v>11</v>
      </c>
      <c r="F7" s="145"/>
      <c r="G7" s="145"/>
      <c r="H7" s="151"/>
      <c r="I7" s="152"/>
      <c r="J7" s="137"/>
      <c r="K7" s="137"/>
      <c r="L7" s="153"/>
      <c r="M7" s="146"/>
      <c r="N7" s="139" t="s">
        <v>14</v>
      </c>
      <c r="O7" s="139"/>
      <c r="P7" s="139"/>
      <c r="Q7" s="139"/>
      <c r="R7" s="140"/>
      <c r="S7" s="141" t="s">
        <v>15</v>
      </c>
      <c r="T7" s="126"/>
      <c r="U7" s="120"/>
      <c r="V7" s="120"/>
      <c r="W7" s="123"/>
      <c r="X7" s="154"/>
      <c r="Y7" s="109"/>
      <c r="Z7" s="154"/>
      <c r="AA7" s="154"/>
      <c r="AB7" s="154"/>
      <c r="AC7" s="67"/>
      <c r="AD7" s="67"/>
      <c r="AE7" s="67"/>
      <c r="AF7" s="67"/>
    </row>
    <row r="8" spans="2:32" ht="53.25" customHeight="1" x14ac:dyDescent="0.25">
      <c r="B8" s="73"/>
      <c r="C8" s="74"/>
      <c r="D8" s="75">
        <v>111</v>
      </c>
      <c r="E8" s="75">
        <v>121</v>
      </c>
      <c r="F8" s="75">
        <v>122</v>
      </c>
      <c r="G8" s="75">
        <v>124</v>
      </c>
      <c r="H8" s="76" t="s">
        <v>16</v>
      </c>
      <c r="I8" s="76">
        <v>116</v>
      </c>
      <c r="J8" s="76">
        <v>121</v>
      </c>
      <c r="K8" s="76">
        <v>122</v>
      </c>
      <c r="L8" s="77">
        <v>124</v>
      </c>
      <c r="M8" s="146"/>
      <c r="N8" s="78" t="s">
        <v>17</v>
      </c>
      <c r="O8" s="79" t="s">
        <v>18</v>
      </c>
      <c r="P8" s="80" t="s">
        <v>19</v>
      </c>
      <c r="Q8" s="80" t="s">
        <v>20</v>
      </c>
      <c r="R8" s="80" t="s">
        <v>21</v>
      </c>
      <c r="S8" s="142"/>
      <c r="T8" s="127"/>
      <c r="U8" s="121"/>
      <c r="V8" s="121"/>
      <c r="W8" s="124"/>
      <c r="X8" s="154"/>
      <c r="Y8" s="109"/>
      <c r="Z8" s="154"/>
      <c r="AA8" s="154"/>
      <c r="AB8" s="154"/>
      <c r="AC8" s="67"/>
      <c r="AD8" s="67"/>
      <c r="AE8" s="67"/>
      <c r="AF8" s="67"/>
    </row>
    <row r="9" spans="2:32" s="22" customFormat="1" ht="18" customHeight="1" x14ac:dyDescent="0.25">
      <c r="B9" s="81">
        <v>1</v>
      </c>
      <c r="C9" s="40" t="s">
        <v>77</v>
      </c>
      <c r="D9" s="14">
        <f>'[1]Свод '!$I$77/1000</f>
        <v>5328.1502674687508</v>
      </c>
      <c r="E9" s="14">
        <f t="shared" ref="E9" si="0">(D9-D9*10%)*6%</f>
        <v>287.72011444331253</v>
      </c>
      <c r="F9" s="14">
        <f t="shared" ref="F9" si="1">(D9-D9*10%)*3.5%</f>
        <v>167.83673342526566</v>
      </c>
      <c r="G9" s="14">
        <f t="shared" ref="G9" si="2">D9*2%</f>
        <v>106.56300534937502</v>
      </c>
      <c r="H9" s="82">
        <v>151902</v>
      </c>
      <c r="I9" s="82">
        <f t="shared" ref="I9:I11" si="3">H9*1.5%</f>
        <v>2278.5299999999997</v>
      </c>
      <c r="J9" s="82">
        <f>(H9-H9*10%)*6%</f>
        <v>8202.7079999999987</v>
      </c>
      <c r="K9" s="82">
        <f>(H9-H9*10%)*3.5%</f>
        <v>4784.9130000000005</v>
      </c>
      <c r="L9" s="82">
        <f t="shared" ref="L9" si="4">H9*2%</f>
        <v>3038.04</v>
      </c>
      <c r="M9" s="82">
        <f t="shared" ref="M9" si="5">H9+J9+K9+L9+I9</f>
        <v>170206.19099999999</v>
      </c>
      <c r="N9" s="83"/>
      <c r="O9" s="84">
        <v>3104</v>
      </c>
      <c r="P9" s="84">
        <f>3560+1692</f>
        <v>5252</v>
      </c>
      <c r="Q9" s="85">
        <v>0</v>
      </c>
      <c r="R9" s="85">
        <v>38</v>
      </c>
      <c r="S9" s="86">
        <f>13080*205/1000</f>
        <v>2681.4</v>
      </c>
      <c r="T9" s="87"/>
      <c r="U9" s="88"/>
      <c r="V9" s="88"/>
      <c r="W9" s="89">
        <f>M9+N9+O9+P9+Q9+T9+S9+U9+V9+R9</f>
        <v>181281.59099999999</v>
      </c>
      <c r="X9" s="106">
        <f>W9/4+3000</f>
        <v>48320.397749999996</v>
      </c>
      <c r="Y9" s="107"/>
      <c r="Z9" s="106">
        <f>(M9+O9+P9+Q9+R9+S9)/4-3000</f>
        <v>42320.397749999996</v>
      </c>
      <c r="AA9" s="108">
        <f>(M9+O9+P9+Q9+R9+S9)/4-4000</f>
        <v>41320.397749999996</v>
      </c>
      <c r="AB9" s="106">
        <f>W9/4+4000</f>
        <v>49320.397749999996</v>
      </c>
      <c r="AC9" s="93">
        <f t="shared" ref="AC9" si="6">N9/7</f>
        <v>0</v>
      </c>
      <c r="AD9" s="94">
        <f t="shared" ref="AD9:AD11" si="7">X9+Z9+AA9+AB9</f>
        <v>181281.59099999999</v>
      </c>
      <c r="AE9" s="92">
        <f t="shared" ref="AE9" si="8">W9-AD9</f>
        <v>0</v>
      </c>
      <c r="AF9" s="93"/>
    </row>
    <row r="10" spans="2:32" s="22" customFormat="1" ht="19.5" customHeight="1" x14ac:dyDescent="0.25">
      <c r="B10" s="95"/>
      <c r="C10" s="40"/>
      <c r="D10" s="14"/>
      <c r="E10" s="14"/>
      <c r="F10" s="14"/>
      <c r="G10" s="14"/>
      <c r="H10" s="82"/>
      <c r="I10" s="82"/>
      <c r="J10" s="82"/>
      <c r="K10" s="82"/>
      <c r="L10" s="82"/>
      <c r="M10" s="82"/>
      <c r="N10" s="83"/>
      <c r="O10" s="84"/>
      <c r="P10" s="84"/>
      <c r="Q10" s="85"/>
      <c r="R10" s="85"/>
      <c r="S10" s="86"/>
      <c r="T10" s="87"/>
      <c r="U10" s="88"/>
      <c r="V10" s="88"/>
      <c r="W10" s="89"/>
      <c r="X10" s="90"/>
      <c r="Y10" s="91"/>
      <c r="Z10" s="90"/>
      <c r="AA10" s="92"/>
      <c r="AB10" s="90"/>
      <c r="AC10" s="93"/>
      <c r="AD10" s="94"/>
      <c r="AE10" s="92"/>
      <c r="AF10" s="93"/>
    </row>
    <row r="11" spans="2:32" s="42" customFormat="1" ht="27" customHeight="1" x14ac:dyDescent="0.25">
      <c r="B11" s="128" t="s">
        <v>79</v>
      </c>
      <c r="C11" s="129"/>
      <c r="D11" s="41">
        <f>SUM(D9:D10)</f>
        <v>5328.1502674687508</v>
      </c>
      <c r="E11" s="14">
        <f>(D11-D11*10%)*6%</f>
        <v>287.72011444331253</v>
      </c>
      <c r="F11" s="14">
        <f>(D11-D11*10%)*3.5%</f>
        <v>167.83673342526566</v>
      </c>
      <c r="G11" s="14">
        <f>D11*2%</f>
        <v>106.56300534937502</v>
      </c>
      <c r="H11" s="96">
        <f>SUM(H9:H10)</f>
        <v>151902</v>
      </c>
      <c r="I11" s="82">
        <f t="shared" si="3"/>
        <v>2278.5299999999997</v>
      </c>
      <c r="J11" s="96">
        <f>SUM(J9:J10)</f>
        <v>8202.7079999999987</v>
      </c>
      <c r="K11" s="96">
        <f>SUM(K9:K10)</f>
        <v>4784.9130000000005</v>
      </c>
      <c r="L11" s="96">
        <f>SUM(L9:L10)</f>
        <v>3038.04</v>
      </c>
      <c r="M11" s="82">
        <f>H11+J11+K11+L11+I11</f>
        <v>170206.19099999999</v>
      </c>
      <c r="N11" s="96">
        <f t="shared" ref="N11:V11" si="9">SUM(N9:N10)</f>
        <v>0</v>
      </c>
      <c r="O11" s="96">
        <f t="shared" si="9"/>
        <v>3104</v>
      </c>
      <c r="P11" s="96">
        <f t="shared" si="9"/>
        <v>5252</v>
      </c>
      <c r="Q11" s="96">
        <f t="shared" si="9"/>
        <v>0</v>
      </c>
      <c r="R11" s="96">
        <f t="shared" si="9"/>
        <v>38</v>
      </c>
      <c r="S11" s="96">
        <f t="shared" si="9"/>
        <v>2681.4</v>
      </c>
      <c r="T11" s="96">
        <f t="shared" si="9"/>
        <v>0</v>
      </c>
      <c r="U11" s="96">
        <f t="shared" si="9"/>
        <v>0</v>
      </c>
      <c r="V11" s="96">
        <f t="shared" si="9"/>
        <v>0</v>
      </c>
      <c r="W11" s="76">
        <f>M11+N11+O11+P11+Q11+T11+S11+U11+V11+R11</f>
        <v>181281.59099999999</v>
      </c>
      <c r="X11" s="76"/>
      <c r="Y11" s="76"/>
      <c r="Z11" s="76"/>
      <c r="AA11" s="76"/>
      <c r="AB11" s="76"/>
      <c r="AC11" s="97"/>
      <c r="AD11" s="94">
        <f t="shared" si="7"/>
        <v>0</v>
      </c>
      <c r="AE11" s="98"/>
      <c r="AF11" s="97"/>
    </row>
    <row r="12" spans="2:32" s="22" customFormat="1" ht="19.5" customHeight="1" x14ac:dyDescent="0.25">
      <c r="B12" s="99"/>
      <c r="C12" s="99"/>
      <c r="D12" s="100"/>
      <c r="E12" s="100"/>
      <c r="F12" s="100"/>
      <c r="G12" s="100"/>
      <c r="H12" s="101"/>
      <c r="I12" s="101"/>
      <c r="J12" s="101"/>
      <c r="K12" s="101"/>
      <c r="L12" s="101"/>
      <c r="M12" s="101"/>
      <c r="N12" s="102"/>
      <c r="O12" s="102"/>
      <c r="P12" s="103"/>
      <c r="Q12" s="104"/>
      <c r="R12" s="104"/>
      <c r="S12" s="103"/>
      <c r="T12" s="103"/>
      <c r="U12" s="103"/>
      <c r="V12" s="103"/>
      <c r="W12" s="105"/>
      <c r="X12" s="93"/>
      <c r="Y12" s="93"/>
      <c r="Z12" s="93"/>
      <c r="AA12" s="93"/>
      <c r="AB12" s="93"/>
      <c r="AC12" s="93"/>
      <c r="AD12" s="93"/>
      <c r="AE12" s="93"/>
      <c r="AF12" s="93"/>
    </row>
    <row r="13" spans="2:32" ht="18.75" x14ac:dyDescent="0.3">
      <c r="B13" s="47"/>
      <c r="C13" s="48"/>
      <c r="D13" s="49"/>
      <c r="E13" s="49"/>
      <c r="F13" s="49"/>
      <c r="G13" s="49"/>
      <c r="H13" s="143"/>
      <c r="I13" s="143"/>
      <c r="J13" s="63"/>
      <c r="K13" s="63"/>
      <c r="L13" s="63"/>
      <c r="M13" s="44"/>
      <c r="N13" s="44"/>
      <c r="O13" s="44"/>
      <c r="P13" s="45"/>
      <c r="Q13" s="45"/>
      <c r="R13" s="45"/>
      <c r="S13" s="45"/>
      <c r="T13" s="45"/>
      <c r="U13" s="45"/>
      <c r="V13" s="45"/>
      <c r="W13" s="46"/>
    </row>
    <row r="14" spans="2:32" ht="18.75" x14ac:dyDescent="0.3">
      <c r="B14" s="47"/>
      <c r="C14" s="48" t="s">
        <v>81</v>
      </c>
      <c r="D14" s="49"/>
      <c r="E14" s="49"/>
      <c r="F14" s="49"/>
      <c r="G14" s="49"/>
      <c r="H14" s="64"/>
      <c r="I14" s="64"/>
      <c r="J14" s="64"/>
      <c r="K14" s="64"/>
      <c r="L14" s="64" t="s">
        <v>82</v>
      </c>
      <c r="M14" s="101"/>
      <c r="N14" s="44"/>
      <c r="O14" s="45"/>
      <c r="P14" s="44"/>
      <c r="Q14" s="45"/>
      <c r="R14" s="45"/>
      <c r="S14" s="45"/>
      <c r="T14" s="45"/>
      <c r="U14" s="45"/>
      <c r="V14" s="45"/>
      <c r="W14" s="46"/>
    </row>
    <row r="15" spans="2:32" ht="15.75" x14ac:dyDescent="0.25">
      <c r="B15" s="51"/>
      <c r="C15" s="52"/>
      <c r="D15" s="53"/>
      <c r="E15" s="53"/>
      <c r="F15" s="53"/>
      <c r="G15" s="53"/>
      <c r="H15" s="54"/>
      <c r="I15" s="54"/>
      <c r="J15" s="54"/>
      <c r="K15" s="54"/>
      <c r="L15" s="54"/>
      <c r="M15" s="54"/>
      <c r="N15" s="54"/>
      <c r="O15" s="44"/>
      <c r="P15" s="45"/>
      <c r="Q15" s="45"/>
      <c r="R15" s="45"/>
      <c r="S15" s="45"/>
      <c r="T15" s="45"/>
      <c r="U15" s="45"/>
      <c r="V15" s="45"/>
      <c r="W15" s="46"/>
    </row>
    <row r="16" spans="2:32" ht="15.75" x14ac:dyDescent="0.25">
      <c r="B16" s="51"/>
      <c r="C16" s="52"/>
      <c r="D16" s="53"/>
      <c r="E16" s="53"/>
      <c r="F16" s="53"/>
      <c r="G16" s="53"/>
      <c r="H16" s="54"/>
      <c r="I16" s="54"/>
      <c r="J16" s="54"/>
      <c r="K16" s="54"/>
      <c r="L16" s="54"/>
      <c r="M16" s="54"/>
      <c r="N16" s="54"/>
      <c r="O16" s="45"/>
      <c r="P16" s="45"/>
      <c r="Q16" s="45"/>
      <c r="R16" s="45"/>
      <c r="S16" s="45"/>
      <c r="T16" s="45"/>
      <c r="U16" s="45"/>
      <c r="V16" s="45"/>
      <c r="W16" s="46"/>
    </row>
    <row r="17" spans="2:23" ht="15.75" x14ac:dyDescent="0.25">
      <c r="B17" s="51"/>
      <c r="C17" s="51"/>
      <c r="D17" s="55"/>
      <c r="E17" s="55"/>
      <c r="F17" s="55"/>
      <c r="G17" s="55"/>
      <c r="H17" s="44"/>
      <c r="I17" s="44"/>
      <c r="J17" s="44"/>
      <c r="K17" s="44"/>
      <c r="L17" s="44"/>
      <c r="M17" s="44"/>
      <c r="N17" s="44"/>
      <c r="O17" s="44"/>
      <c r="P17" s="45"/>
      <c r="Q17" s="45"/>
      <c r="R17" s="45"/>
      <c r="S17" s="45"/>
      <c r="T17" s="45"/>
      <c r="U17" s="45"/>
      <c r="V17" s="45"/>
      <c r="W17" s="46"/>
    </row>
    <row r="18" spans="2:23" x14ac:dyDescent="0.25">
      <c r="O18" s="57"/>
    </row>
    <row r="19" spans="2:23" x14ac:dyDescent="0.25">
      <c r="O19" s="57"/>
    </row>
  </sheetData>
  <mergeCells count="20">
    <mergeCell ref="B11:C11"/>
    <mergeCell ref="H13:I13"/>
    <mergeCell ref="AB6:AB8"/>
    <mergeCell ref="E7:G7"/>
    <mergeCell ref="N7:R7"/>
    <mergeCell ref="S7:S8"/>
    <mergeCell ref="U6:U8"/>
    <mergeCell ref="V6:V8"/>
    <mergeCell ref="W6:W8"/>
    <mergeCell ref="X6:X8"/>
    <mergeCell ref="Z6:Z8"/>
    <mergeCell ref="AA6:AA8"/>
    <mergeCell ref="T6:T8"/>
    <mergeCell ref="B6:B7"/>
    <mergeCell ref="C5:Q5"/>
    <mergeCell ref="M6:M8"/>
    <mergeCell ref="N6:S6"/>
    <mergeCell ref="C6:C7"/>
    <mergeCell ref="H6:H7"/>
    <mergeCell ref="I6:L7"/>
  </mergeCells>
  <pageMargins left="0.11811023622047245" right="0.11811023622047245" top="0.15748031496062992" bottom="0.15748031496062992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01.01.2025</vt:lpstr>
      <vt:lpstr>РОО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2025-02-25T09:08:34Z</dcterms:modified>
</cp:coreProperties>
</file>